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36" windowWidth="15300" windowHeight="8400" tabRatio="948" activeTab="11"/>
  </bookViews>
  <sheets>
    <sheet name="ตารางที่ 1ส่ง" sheetId="1" r:id="rId1"/>
    <sheet name="ตารางที่ 2ส่ง" sheetId="3" r:id="rId2"/>
    <sheet name="ตารางที่ 3ส่ง" sheetId="14" r:id="rId3"/>
    <sheet name="ตารางที่ 4 ส่ง" sheetId="5" r:id="rId4"/>
    <sheet name="ตารางที่ 5 ส่ง" sheetId="6" r:id="rId5"/>
    <sheet name="ตารางที่ 6 ส่ง" sheetId="7" r:id="rId6"/>
    <sheet name="ตารางที่ 7 ส่ง" sheetId="22" r:id="rId7"/>
    <sheet name="ตารางที่ 8 ส่ง" sheetId="11" r:id="rId8"/>
    <sheet name="ตารางที่ 9 ส่ง" sheetId="13" r:id="rId9"/>
    <sheet name="ตารางที่ 10 ส่ง" sheetId="21" r:id="rId10"/>
    <sheet name="ตารางที่ 11 ส่ง" sheetId="16" r:id="rId11"/>
    <sheet name="ตารางที่ 12 ส่ง" sheetId="17" r:id="rId12"/>
  </sheets>
  <definedNames>
    <definedName name="_xlnm.Print_Area" localSheetId="8">'ตารางที่ 9 ส่ง'!$A$3:$T$57</definedName>
    <definedName name="_xlnm.Print_Titles" localSheetId="10">'ตารางที่ 11 ส่ง'!$8:$14</definedName>
    <definedName name="_xlnm.Print_Titles" localSheetId="1">'ตารางที่ 2ส่ง'!$6:$10</definedName>
    <definedName name="_xlnm.Print_Titles" localSheetId="2">'ตารางที่ 3ส่ง'!$6:$7</definedName>
    <definedName name="_xlnm.Print_Titles" localSheetId="3">'ตารางที่ 4 ส่ง'!$6:$7</definedName>
    <definedName name="_xlnm.Print_Titles" localSheetId="4">'ตารางที่ 5 ส่ง'!$6:$7</definedName>
    <definedName name="_xlnm.Print_Titles" localSheetId="6">'ตารางที่ 7 ส่ง'!$9:$13</definedName>
  </definedNames>
  <calcPr calcId="144525"/>
</workbook>
</file>

<file path=xl/calcChain.xml><?xml version="1.0" encoding="utf-8"?>
<calcChain xmlns="http://schemas.openxmlformats.org/spreadsheetml/2006/main">
  <c r="J19" i="17" l="1"/>
  <c r="I19" i="17"/>
  <c r="H19" i="17"/>
  <c r="D19" i="17"/>
  <c r="D14" i="17"/>
  <c r="G19" i="17"/>
  <c r="E19" i="17"/>
  <c r="K49" i="11" l="1"/>
  <c r="L49" i="11"/>
  <c r="M49" i="11"/>
  <c r="J49" i="11"/>
  <c r="G26" i="7" l="1"/>
  <c r="T35" i="21"/>
  <c r="K22" i="21"/>
  <c r="L22" i="21"/>
  <c r="M22" i="21"/>
  <c r="J22" i="21"/>
  <c r="N22" i="21"/>
  <c r="F25" i="13"/>
  <c r="R25" i="13"/>
  <c r="M24" i="13"/>
  <c r="B24" i="13"/>
  <c r="F24" i="13" s="1"/>
  <c r="C24" i="13"/>
  <c r="D24" i="13"/>
  <c r="E24" i="13"/>
  <c r="B25" i="13"/>
  <c r="C25" i="13"/>
  <c r="D25" i="13"/>
  <c r="E25" i="13"/>
  <c r="D8" i="14" l="1"/>
  <c r="L48" i="22"/>
  <c r="L47" i="22"/>
  <c r="L33" i="22"/>
  <c r="L34" i="22"/>
  <c r="L35" i="22"/>
  <c r="L36" i="22"/>
  <c r="L37" i="22"/>
  <c r="L38" i="22"/>
  <c r="L39" i="22"/>
  <c r="L40" i="22"/>
  <c r="L41" i="22"/>
  <c r="L24" i="22"/>
  <c r="L25" i="22"/>
  <c r="L26" i="22"/>
  <c r="L27" i="22"/>
  <c r="L28" i="22"/>
  <c r="L29" i="22"/>
  <c r="L30" i="22"/>
  <c r="L31" i="22"/>
  <c r="L32" i="22"/>
  <c r="L23" i="22"/>
  <c r="L22" i="22"/>
  <c r="L20" i="22"/>
  <c r="L17" i="22"/>
  <c r="L18" i="22"/>
  <c r="L19" i="22"/>
  <c r="L16" i="22"/>
  <c r="L15" i="22"/>
  <c r="J48" i="22"/>
  <c r="K48" i="22"/>
  <c r="M48" i="22"/>
  <c r="K47" i="22"/>
  <c r="M47" i="22"/>
  <c r="J47" i="22"/>
  <c r="J37" i="22"/>
  <c r="K37" i="22"/>
  <c r="M37" i="22"/>
  <c r="J38" i="22"/>
  <c r="K38" i="22"/>
  <c r="M38" i="22"/>
  <c r="J39" i="22"/>
  <c r="K39" i="22"/>
  <c r="M39" i="22"/>
  <c r="J40" i="22"/>
  <c r="K40" i="22"/>
  <c r="M40" i="22"/>
  <c r="J41" i="22"/>
  <c r="K41" i="22"/>
  <c r="M41" i="22"/>
  <c r="J27" i="22"/>
  <c r="K27" i="22"/>
  <c r="M27" i="22"/>
  <c r="J28" i="22"/>
  <c r="K28" i="22"/>
  <c r="M28" i="22"/>
  <c r="J29" i="22"/>
  <c r="K29" i="22"/>
  <c r="M29" i="22"/>
  <c r="J30" i="22"/>
  <c r="K30" i="22"/>
  <c r="M30" i="22"/>
  <c r="J31" i="22"/>
  <c r="K31" i="22"/>
  <c r="M31" i="22"/>
  <c r="J32" i="22"/>
  <c r="K32" i="22"/>
  <c r="M32" i="22"/>
  <c r="J33" i="22"/>
  <c r="K33" i="22"/>
  <c r="M33" i="22"/>
  <c r="J34" i="22"/>
  <c r="K34" i="22"/>
  <c r="M34" i="22"/>
  <c r="J35" i="22"/>
  <c r="K35" i="22"/>
  <c r="M35" i="22"/>
  <c r="J36" i="22"/>
  <c r="K36" i="22"/>
  <c r="M36" i="22"/>
  <c r="J23" i="22"/>
  <c r="K23" i="22"/>
  <c r="M23" i="22"/>
  <c r="J24" i="22"/>
  <c r="K24" i="22"/>
  <c r="M24" i="22"/>
  <c r="J25" i="22"/>
  <c r="K25" i="22"/>
  <c r="M25" i="22"/>
  <c r="J26" i="22"/>
  <c r="K26" i="22"/>
  <c r="M26" i="22"/>
  <c r="K22" i="22"/>
  <c r="M22" i="22"/>
  <c r="J22" i="22"/>
  <c r="K20" i="22"/>
  <c r="M20" i="22"/>
  <c r="J20" i="22"/>
  <c r="J18" i="22"/>
  <c r="K18" i="22"/>
  <c r="M18" i="22"/>
  <c r="J19" i="22"/>
  <c r="K19" i="22"/>
  <c r="M19" i="22"/>
  <c r="K17" i="22"/>
  <c r="M17" i="22"/>
  <c r="J17" i="22"/>
  <c r="K16" i="22"/>
  <c r="M16" i="22"/>
  <c r="J16" i="22"/>
  <c r="K15" i="22"/>
  <c r="M15" i="22"/>
  <c r="J15" i="22"/>
  <c r="E37" i="6"/>
  <c r="D37" i="6"/>
  <c r="C37" i="6"/>
  <c r="B37" i="6"/>
  <c r="B36" i="6"/>
  <c r="C36" i="6"/>
  <c r="E36" i="6"/>
  <c r="D36" i="6"/>
  <c r="E35" i="6"/>
  <c r="D35" i="6"/>
  <c r="C35" i="6"/>
  <c r="B35" i="6"/>
  <c r="B34" i="6"/>
  <c r="C34" i="6"/>
  <c r="D34" i="6"/>
  <c r="E34" i="6"/>
  <c r="E33" i="6"/>
  <c r="D33" i="6"/>
  <c r="C33" i="6"/>
  <c r="B33" i="6"/>
  <c r="B32" i="6"/>
  <c r="C32" i="6"/>
  <c r="D32" i="6"/>
  <c r="E32" i="6"/>
  <c r="E31" i="6"/>
  <c r="D31" i="6"/>
  <c r="C31" i="6"/>
  <c r="B31" i="6"/>
  <c r="B30" i="6"/>
  <c r="C30" i="6"/>
  <c r="D30" i="6"/>
  <c r="E30" i="6"/>
  <c r="E29" i="6"/>
  <c r="D29" i="6"/>
  <c r="C29" i="6"/>
  <c r="B29" i="6"/>
  <c r="B28" i="6"/>
  <c r="C28" i="6"/>
  <c r="D28" i="6"/>
  <c r="E28" i="6"/>
  <c r="E27" i="6"/>
  <c r="D27" i="6"/>
  <c r="C27" i="6"/>
  <c r="B27" i="6"/>
  <c r="E25" i="6"/>
  <c r="D25" i="6"/>
  <c r="C25" i="6"/>
  <c r="B25" i="6"/>
  <c r="B24" i="6"/>
  <c r="C24" i="6"/>
  <c r="D24" i="6"/>
  <c r="E24" i="6"/>
  <c r="E23" i="6"/>
  <c r="D23" i="6"/>
  <c r="C23" i="6"/>
  <c r="B23" i="6"/>
  <c r="B22" i="6"/>
  <c r="C22" i="6"/>
  <c r="D22" i="6"/>
  <c r="E22" i="6"/>
  <c r="E21" i="6"/>
  <c r="D21" i="6"/>
  <c r="C21" i="6"/>
  <c r="B21" i="6"/>
  <c r="B20" i="6"/>
  <c r="C20" i="6"/>
  <c r="D20" i="6"/>
  <c r="E20" i="6"/>
  <c r="E19" i="6"/>
  <c r="D19" i="6"/>
  <c r="C19" i="6"/>
  <c r="B19" i="6"/>
  <c r="B18" i="6"/>
  <c r="C18" i="6"/>
  <c r="D18" i="6"/>
  <c r="E18" i="6"/>
  <c r="E17" i="6"/>
  <c r="D17" i="6"/>
  <c r="C17" i="6"/>
  <c r="B17" i="6"/>
  <c r="B16" i="6"/>
  <c r="C16" i="6"/>
  <c r="D16" i="6"/>
  <c r="E16" i="6"/>
  <c r="E15" i="6"/>
  <c r="D15" i="6"/>
  <c r="C15" i="6"/>
  <c r="B15" i="6"/>
  <c r="B13" i="6"/>
  <c r="C13" i="6"/>
  <c r="D13" i="6"/>
  <c r="E13" i="6"/>
  <c r="E12" i="6"/>
  <c r="D12" i="6"/>
  <c r="C12" i="6"/>
  <c r="B12" i="6"/>
  <c r="B11" i="6"/>
  <c r="C11" i="6"/>
  <c r="D11" i="6"/>
  <c r="E11" i="6"/>
  <c r="E10" i="6"/>
  <c r="D10" i="6"/>
  <c r="C10" i="6"/>
  <c r="B10" i="6"/>
  <c r="B9" i="6"/>
  <c r="C9" i="6"/>
  <c r="D9" i="6"/>
  <c r="E9" i="6"/>
  <c r="E8" i="6"/>
  <c r="D8" i="6"/>
  <c r="C8" i="6"/>
  <c r="B8" i="6"/>
  <c r="E22" i="14" l="1"/>
  <c r="E20" i="14"/>
  <c r="E11" i="14"/>
  <c r="E13" i="14"/>
  <c r="E29" i="14"/>
  <c r="D29" i="14"/>
  <c r="D27" i="14"/>
  <c r="D22" i="14"/>
  <c r="D17" i="14"/>
  <c r="D11" i="14"/>
  <c r="E12" i="14"/>
  <c r="E8" i="14"/>
  <c r="C13" i="14"/>
  <c r="C11" i="14"/>
  <c r="C8" i="14" s="1"/>
  <c r="C17" i="14"/>
  <c r="C29" i="14"/>
  <c r="B29" i="14"/>
  <c r="B8" i="14" s="1"/>
  <c r="B75" i="14" s="1"/>
  <c r="E17" i="14"/>
  <c r="D30" i="14"/>
  <c r="C36" i="14"/>
  <c r="B17" i="14"/>
  <c r="E28" i="14"/>
  <c r="D28" i="14"/>
  <c r="C28" i="14"/>
  <c r="B28" i="14"/>
  <c r="E35" i="14"/>
  <c r="D35" i="14"/>
  <c r="C35" i="14"/>
  <c r="B35" i="14"/>
  <c r="F40" i="5"/>
  <c r="E40" i="5"/>
  <c r="D40" i="5"/>
  <c r="C40" i="5"/>
  <c r="E34" i="5"/>
  <c r="D34" i="5"/>
  <c r="C34" i="5"/>
  <c r="B40" i="5"/>
  <c r="B34" i="5"/>
  <c r="B37" i="5" s="1"/>
  <c r="B36" i="5"/>
  <c r="C36" i="5"/>
  <c r="D36" i="5"/>
  <c r="E36" i="5"/>
  <c r="E35" i="5"/>
  <c r="D35" i="5"/>
  <c r="C35" i="5"/>
  <c r="B35" i="5"/>
  <c r="E33" i="5"/>
  <c r="D33" i="5"/>
  <c r="C33" i="5"/>
  <c r="B33" i="5"/>
  <c r="B32" i="5"/>
  <c r="C32" i="5"/>
  <c r="D32" i="5"/>
  <c r="E32" i="5"/>
  <c r="E31" i="5"/>
  <c r="D31" i="5"/>
  <c r="C31" i="5"/>
  <c r="B31" i="5"/>
  <c r="B30" i="5"/>
  <c r="C30" i="5"/>
  <c r="D30" i="5"/>
  <c r="E30" i="5"/>
  <c r="E29" i="5"/>
  <c r="D29" i="5"/>
  <c r="C29" i="5"/>
  <c r="B29" i="5"/>
  <c r="E28" i="5"/>
  <c r="D28" i="5"/>
  <c r="C28" i="5"/>
  <c r="B28" i="5"/>
  <c r="B27" i="5"/>
  <c r="C27" i="5"/>
  <c r="D27" i="5"/>
  <c r="E27" i="5"/>
  <c r="E26" i="5"/>
  <c r="D26" i="5"/>
  <c r="C26" i="5"/>
  <c r="B26" i="5"/>
  <c r="E25" i="5"/>
  <c r="D25" i="5"/>
  <c r="C25" i="5"/>
  <c r="B25" i="5"/>
  <c r="B24" i="5"/>
  <c r="C24" i="5"/>
  <c r="D24" i="5"/>
  <c r="E24" i="5"/>
  <c r="E23" i="5"/>
  <c r="D23" i="5"/>
  <c r="C23" i="5"/>
  <c r="B23" i="5"/>
  <c r="B22" i="5"/>
  <c r="C22" i="5"/>
  <c r="D22" i="5"/>
  <c r="E22" i="5"/>
  <c r="E21" i="5"/>
  <c r="D21" i="5"/>
  <c r="C21" i="5"/>
  <c r="B21" i="5"/>
  <c r="B20" i="5"/>
  <c r="C20" i="5"/>
  <c r="D20" i="5"/>
  <c r="E20" i="5"/>
  <c r="E19" i="5"/>
  <c r="D19" i="5"/>
  <c r="C19" i="5"/>
  <c r="B19" i="5"/>
  <c r="B18" i="5"/>
  <c r="C18" i="5"/>
  <c r="D18" i="5"/>
  <c r="E18" i="5"/>
  <c r="E17" i="5"/>
  <c r="D17" i="5"/>
  <c r="C17" i="5"/>
  <c r="B17" i="5"/>
  <c r="E16" i="5"/>
  <c r="D16" i="5"/>
  <c r="C16" i="5"/>
  <c r="B16" i="5"/>
  <c r="E15" i="5"/>
  <c r="D15" i="5"/>
  <c r="C15" i="5"/>
  <c r="B15" i="5"/>
  <c r="E13" i="5"/>
  <c r="D13" i="5"/>
  <c r="C13" i="5"/>
  <c r="B13" i="5"/>
  <c r="E12" i="5"/>
  <c r="D12" i="5"/>
  <c r="C12" i="5"/>
  <c r="B12" i="5"/>
  <c r="B11" i="5"/>
  <c r="C11" i="5"/>
  <c r="D11" i="5"/>
  <c r="E11" i="5"/>
  <c r="E10" i="5"/>
  <c r="D10" i="5"/>
  <c r="C10" i="5"/>
  <c r="B10" i="5"/>
  <c r="E9" i="5"/>
  <c r="D9" i="5"/>
  <c r="C9" i="5"/>
  <c r="B9" i="5"/>
  <c r="E8" i="5"/>
  <c r="D8" i="5"/>
  <c r="C8" i="5"/>
  <c r="B8" i="5"/>
  <c r="E36" i="14"/>
  <c r="D36" i="14"/>
  <c r="B36" i="14"/>
  <c r="E32" i="14"/>
  <c r="D32" i="14"/>
  <c r="C32" i="14"/>
  <c r="B32" i="14"/>
  <c r="E18" i="14"/>
  <c r="D18" i="14"/>
  <c r="C18" i="14"/>
  <c r="B18" i="14"/>
  <c r="D13" i="14"/>
  <c r="B13" i="14"/>
  <c r="D12" i="14"/>
  <c r="C12" i="14"/>
  <c r="B12" i="14"/>
  <c r="B11" i="14"/>
  <c r="F16" i="21" l="1"/>
  <c r="I16" i="21" s="1"/>
  <c r="N49" i="13"/>
  <c r="Q49" i="13" s="1"/>
  <c r="L49" i="13"/>
  <c r="M49" i="13"/>
  <c r="K49" i="13"/>
  <c r="J49" i="13"/>
  <c r="C48" i="13"/>
  <c r="D48" i="13"/>
  <c r="E48" i="13"/>
  <c r="B48" i="13"/>
  <c r="S39" i="13"/>
  <c r="B39" i="13"/>
  <c r="C39" i="13"/>
  <c r="D39" i="13"/>
  <c r="E39" i="13"/>
  <c r="F27" i="13"/>
  <c r="G27" i="13"/>
  <c r="S27" i="13" s="1"/>
  <c r="C27" i="13"/>
  <c r="D27" i="13"/>
  <c r="E27" i="13"/>
  <c r="B26" i="13"/>
  <c r="B27" i="13"/>
  <c r="F18" i="13"/>
  <c r="G18" i="13"/>
  <c r="S18" i="13" s="1"/>
  <c r="C18" i="13"/>
  <c r="D18" i="13"/>
  <c r="E18" i="13"/>
  <c r="B17" i="13"/>
  <c r="B18" i="13"/>
  <c r="S27" i="11"/>
  <c r="I27" i="11"/>
  <c r="N49" i="11"/>
  <c r="Q49" i="11" s="1"/>
  <c r="S39" i="11"/>
  <c r="F39" i="11"/>
  <c r="I39" i="11" s="1"/>
  <c r="S18" i="11"/>
  <c r="S36" i="22"/>
  <c r="F36" i="22"/>
  <c r="I36" i="22" s="1"/>
  <c r="S26" i="22"/>
  <c r="I18" i="13" l="1"/>
  <c r="I27" i="13"/>
  <c r="S28" i="21"/>
  <c r="O89" i="22" l="1"/>
  <c r="G89" i="22"/>
  <c r="E89" i="22"/>
  <c r="D89" i="22"/>
  <c r="C89" i="22"/>
  <c r="B89" i="22"/>
  <c r="F88" i="22"/>
  <c r="I88" i="22" s="1"/>
  <c r="F87" i="22"/>
  <c r="I87" i="22" s="1"/>
  <c r="F86" i="22"/>
  <c r="I86" i="22" s="1"/>
  <c r="F85" i="22"/>
  <c r="F84" i="22"/>
  <c r="I84" i="22" s="1"/>
  <c r="S83" i="22"/>
  <c r="N83" i="22"/>
  <c r="Q83" i="22" s="1"/>
  <c r="F83" i="22"/>
  <c r="I83" i="22" s="1"/>
  <c r="S82" i="22"/>
  <c r="M82" i="22"/>
  <c r="L82" i="22"/>
  <c r="J82" i="22"/>
  <c r="F82" i="22"/>
  <c r="I82" i="22" s="1"/>
  <c r="S81" i="22"/>
  <c r="M81" i="22"/>
  <c r="L81" i="22"/>
  <c r="K81" i="22"/>
  <c r="J81" i="22"/>
  <c r="F81" i="22"/>
  <c r="I81" i="22" s="1"/>
  <c r="S80" i="22"/>
  <c r="M80" i="22"/>
  <c r="L80" i="22"/>
  <c r="K80" i="22"/>
  <c r="J80" i="22"/>
  <c r="F80" i="22"/>
  <c r="I80" i="22" s="1"/>
  <c r="S79" i="22"/>
  <c r="N79" i="22"/>
  <c r="R79" i="22" s="1"/>
  <c r="I79" i="22"/>
  <c r="S78" i="22"/>
  <c r="N78" i="22"/>
  <c r="F78" i="22"/>
  <c r="I78" i="22" s="1"/>
  <c r="S77" i="22"/>
  <c r="M77" i="22"/>
  <c r="L77" i="22"/>
  <c r="K77" i="22"/>
  <c r="J77" i="22"/>
  <c r="F77" i="22"/>
  <c r="I77" i="22" s="1"/>
  <c r="S76" i="22"/>
  <c r="M76" i="22"/>
  <c r="L76" i="22"/>
  <c r="K76" i="22"/>
  <c r="J76" i="22"/>
  <c r="F76" i="22"/>
  <c r="I76" i="22" s="1"/>
  <c r="S75" i="22"/>
  <c r="N75" i="22"/>
  <c r="Q75" i="22" s="1"/>
  <c r="F75" i="22"/>
  <c r="S74" i="22"/>
  <c r="K74" i="22"/>
  <c r="N74" i="22" s="1"/>
  <c r="F74" i="22"/>
  <c r="I74" i="22" s="1"/>
  <c r="S73" i="22"/>
  <c r="N73" i="22"/>
  <c r="F73" i="22"/>
  <c r="I73" i="22" s="1"/>
  <c r="S72" i="22"/>
  <c r="N72" i="22"/>
  <c r="F72" i="22"/>
  <c r="I72" i="22" s="1"/>
  <c r="S71" i="22"/>
  <c r="N71" i="22"/>
  <c r="F71" i="22"/>
  <c r="I71" i="22" s="1"/>
  <c r="S70" i="22"/>
  <c r="N70" i="22"/>
  <c r="F70" i="22"/>
  <c r="I70" i="22" s="1"/>
  <c r="S69" i="22"/>
  <c r="N69" i="22"/>
  <c r="F69" i="22"/>
  <c r="I69" i="22" s="1"/>
  <c r="S68" i="22"/>
  <c r="N68" i="22"/>
  <c r="Q68" i="22" s="1"/>
  <c r="F68" i="22"/>
  <c r="N67" i="22"/>
  <c r="F67" i="22"/>
  <c r="S66" i="22"/>
  <c r="N66" i="22"/>
  <c r="Q66" i="22" s="1"/>
  <c r="F66" i="22"/>
  <c r="I66" i="22" s="1"/>
  <c r="S65" i="22"/>
  <c r="N65" i="22"/>
  <c r="F65" i="22"/>
  <c r="I65" i="22" s="1"/>
  <c r="S64" i="22"/>
  <c r="N64" i="22"/>
  <c r="F64" i="22"/>
  <c r="I64" i="22" s="1"/>
  <c r="S63" i="22"/>
  <c r="N63" i="22"/>
  <c r="Q63" i="22" s="1"/>
  <c r="F63" i="22"/>
  <c r="I63" i="22" s="1"/>
  <c r="N62" i="22"/>
  <c r="F62" i="22"/>
  <c r="S61" i="22"/>
  <c r="K61" i="22"/>
  <c r="N61" i="22" s="1"/>
  <c r="Q61" i="22" s="1"/>
  <c r="F61" i="22"/>
  <c r="I61" i="22" s="1"/>
  <c r="S60" i="22"/>
  <c r="N60" i="22"/>
  <c r="Q60" i="22" s="1"/>
  <c r="F60" i="22"/>
  <c r="I60" i="22" s="1"/>
  <c r="S59" i="22"/>
  <c r="N59" i="22"/>
  <c r="Q59" i="22" s="1"/>
  <c r="F59" i="22"/>
  <c r="I59" i="22" s="1"/>
  <c r="S58" i="22"/>
  <c r="N58" i="22"/>
  <c r="Q58" i="22" s="1"/>
  <c r="F58" i="22"/>
  <c r="I58" i="22" s="1"/>
  <c r="M57" i="22"/>
  <c r="L57" i="22"/>
  <c r="K57" i="22"/>
  <c r="J57" i="22"/>
  <c r="F57" i="22"/>
  <c r="M56" i="22"/>
  <c r="L56" i="22"/>
  <c r="K56" i="22"/>
  <c r="J56" i="22"/>
  <c r="F56" i="22"/>
  <c r="S55" i="22"/>
  <c r="M55" i="22"/>
  <c r="L55" i="22"/>
  <c r="K55" i="22"/>
  <c r="J55" i="22"/>
  <c r="F55" i="22"/>
  <c r="I55" i="22" s="1"/>
  <c r="S54" i="22"/>
  <c r="M54" i="22"/>
  <c r="L54" i="22"/>
  <c r="K54" i="22"/>
  <c r="J54" i="22"/>
  <c r="F54" i="22"/>
  <c r="I54" i="22" s="1"/>
  <c r="S53" i="22"/>
  <c r="M53" i="22"/>
  <c r="L53" i="22"/>
  <c r="K53" i="22"/>
  <c r="J53" i="22"/>
  <c r="F53" i="22"/>
  <c r="I53" i="22" s="1"/>
  <c r="S52" i="22"/>
  <c r="M52" i="22"/>
  <c r="L52" i="22"/>
  <c r="K52" i="22"/>
  <c r="J52" i="22"/>
  <c r="J89" i="22" s="1"/>
  <c r="F52" i="22"/>
  <c r="I52" i="22" s="1"/>
  <c r="S51" i="22"/>
  <c r="N51" i="22"/>
  <c r="F51" i="22"/>
  <c r="I51" i="22" s="1"/>
  <c r="S50" i="22"/>
  <c r="N50" i="22"/>
  <c r="F50" i="22"/>
  <c r="I50" i="22" s="1"/>
  <c r="N46" i="22"/>
  <c r="F46" i="22"/>
  <c r="I46" i="22" s="1"/>
  <c r="N45" i="22"/>
  <c r="F45" i="22"/>
  <c r="I45" i="22" s="1"/>
  <c r="N44" i="22"/>
  <c r="F44" i="22"/>
  <c r="I44" i="22" s="1"/>
  <c r="N43" i="22"/>
  <c r="F43" i="22"/>
  <c r="N42" i="22"/>
  <c r="F42" i="22"/>
  <c r="I42" i="22" s="1"/>
  <c r="N41" i="22"/>
  <c r="F41" i="22"/>
  <c r="S40" i="22"/>
  <c r="N40" i="22"/>
  <c r="F40" i="22"/>
  <c r="I40" i="22" s="1"/>
  <c r="S39" i="22"/>
  <c r="N39" i="22"/>
  <c r="F39" i="22"/>
  <c r="I39" i="22" s="1"/>
  <c r="S38" i="22"/>
  <c r="N38" i="22"/>
  <c r="Q38" i="22" s="1"/>
  <c r="F38" i="22"/>
  <c r="I38" i="22" s="1"/>
  <c r="S37" i="22"/>
  <c r="N37" i="22"/>
  <c r="Q37" i="22" s="1"/>
  <c r="F37" i="22"/>
  <c r="I37" i="22" s="1"/>
  <c r="N36" i="22"/>
  <c r="S35" i="22"/>
  <c r="N35" i="22"/>
  <c r="Q35" i="22" s="1"/>
  <c r="F35" i="22"/>
  <c r="I35" i="22" s="1"/>
  <c r="S34" i="22"/>
  <c r="N34" i="22"/>
  <c r="F34" i="22"/>
  <c r="I34" i="22" s="1"/>
  <c r="S33" i="22"/>
  <c r="N33" i="22"/>
  <c r="Q33" i="22" s="1"/>
  <c r="F33" i="22"/>
  <c r="I33" i="22" s="1"/>
  <c r="S32" i="22"/>
  <c r="N32" i="22"/>
  <c r="Q32" i="22" s="1"/>
  <c r="F32" i="22"/>
  <c r="N31" i="22"/>
  <c r="Q31" i="22" s="1"/>
  <c r="F31" i="22"/>
  <c r="N30" i="22"/>
  <c r="Q30" i="22" s="1"/>
  <c r="F30" i="22"/>
  <c r="N29" i="22"/>
  <c r="F29" i="22"/>
  <c r="S28" i="22"/>
  <c r="N28" i="22"/>
  <c r="F28" i="22"/>
  <c r="I28" i="22" s="1"/>
  <c r="N27" i="22"/>
  <c r="Q27" i="22" s="1"/>
  <c r="F27" i="22"/>
  <c r="N26" i="22"/>
  <c r="F26" i="22"/>
  <c r="I26" i="22" s="1"/>
  <c r="N25" i="22"/>
  <c r="F25" i="22"/>
  <c r="S24" i="22"/>
  <c r="N24" i="22"/>
  <c r="Q24" i="22" s="1"/>
  <c r="F24" i="22"/>
  <c r="I24" i="22" s="1"/>
  <c r="S23" i="22"/>
  <c r="N23" i="22"/>
  <c r="F23" i="22"/>
  <c r="I23" i="22" s="1"/>
  <c r="N22" i="22"/>
  <c r="Q22" i="22" s="1"/>
  <c r="F22" i="22"/>
  <c r="F21" i="22"/>
  <c r="N20" i="22"/>
  <c r="Q20" i="22" s="1"/>
  <c r="F20" i="22"/>
  <c r="N19" i="22"/>
  <c r="F19" i="22"/>
  <c r="N18" i="22"/>
  <c r="Q18" i="22" s="1"/>
  <c r="F18" i="22"/>
  <c r="S17" i="22"/>
  <c r="N17" i="22"/>
  <c r="Q17" i="22" s="1"/>
  <c r="F17" i="22"/>
  <c r="N16" i="22"/>
  <c r="F16" i="22"/>
  <c r="S15" i="22"/>
  <c r="N15" i="22"/>
  <c r="F15" i="22"/>
  <c r="I15" i="22" s="1"/>
  <c r="G20" i="7"/>
  <c r="G25" i="7"/>
  <c r="G8" i="14"/>
  <c r="K89" i="22" l="1"/>
  <c r="L89" i="22"/>
  <c r="S89" i="22"/>
  <c r="R32" i="22"/>
  <c r="R70" i="22"/>
  <c r="G73" i="14"/>
  <c r="R68" i="22"/>
  <c r="N57" i="22"/>
  <c r="Q57" i="22" s="1"/>
  <c r="R71" i="22"/>
  <c r="R75" i="22"/>
  <c r="T37" i="22"/>
  <c r="R66" i="22"/>
  <c r="N53" i="22"/>
  <c r="Q53" i="22" s="1"/>
  <c r="T53" i="22" s="1"/>
  <c r="N80" i="22"/>
  <c r="Q80" i="22" s="1"/>
  <c r="T80" i="22" s="1"/>
  <c r="R28" i="22"/>
  <c r="T66" i="22"/>
  <c r="Q26" i="22"/>
  <c r="T26" i="22" s="1"/>
  <c r="R26" i="22"/>
  <c r="Q36" i="22"/>
  <c r="T36" i="22" s="1"/>
  <c r="R36" i="22"/>
  <c r="N55" i="22"/>
  <c r="R55" i="22" s="1"/>
  <c r="R58" i="22"/>
  <c r="R73" i="22"/>
  <c r="T35" i="22"/>
  <c r="T38" i="22"/>
  <c r="R15" i="22"/>
  <c r="R23" i="22"/>
  <c r="N81" i="22"/>
  <c r="Q81" i="22" s="1"/>
  <c r="T81" i="22" s="1"/>
  <c r="T61" i="22"/>
  <c r="N82" i="22"/>
  <c r="R82" i="22" s="1"/>
  <c r="Q67" i="22"/>
  <c r="Q73" i="22"/>
  <c r="T73" i="22" s="1"/>
  <c r="I75" i="22"/>
  <c r="T75" i="22" s="1"/>
  <c r="N76" i="22"/>
  <c r="Q76" i="22" s="1"/>
  <c r="T76" i="22" s="1"/>
  <c r="R17" i="22"/>
  <c r="R35" i="22"/>
  <c r="R39" i="22"/>
  <c r="N54" i="22"/>
  <c r="Q54" i="22" s="1"/>
  <c r="T54" i="22" s="1"/>
  <c r="R69" i="22"/>
  <c r="R78" i="22"/>
  <c r="T83" i="22"/>
  <c r="R59" i="22"/>
  <c r="N56" i="22"/>
  <c r="T58" i="22"/>
  <c r="T60" i="22"/>
  <c r="T59" i="22"/>
  <c r="R50" i="22"/>
  <c r="N52" i="22"/>
  <c r="R52" i="22" s="1"/>
  <c r="R64" i="22"/>
  <c r="R72" i="22"/>
  <c r="N77" i="22"/>
  <c r="R77" i="22" s="1"/>
  <c r="I17" i="22"/>
  <c r="T17" i="22" s="1"/>
  <c r="F89" i="22"/>
  <c r="I89" i="22" s="1"/>
  <c r="T24" i="22"/>
  <c r="Q41" i="22"/>
  <c r="T63" i="22"/>
  <c r="Q25" i="22"/>
  <c r="Q16" i="22"/>
  <c r="R40" i="22"/>
  <c r="R51" i="22"/>
  <c r="Q51" i="22"/>
  <c r="T51" i="22" s="1"/>
  <c r="R74" i="22"/>
  <c r="Q74" i="22"/>
  <c r="T74" i="22" s="1"/>
  <c r="Q65" i="22"/>
  <c r="T65" i="22" s="1"/>
  <c r="R65" i="22"/>
  <c r="T33" i="22"/>
  <c r="Q34" i="22"/>
  <c r="T34" i="22" s="1"/>
  <c r="R34" i="22"/>
  <c r="Q50" i="22"/>
  <c r="T50" i="22" s="1"/>
  <c r="Q64" i="22"/>
  <c r="T64" i="22" s="1"/>
  <c r="R38" i="22"/>
  <c r="R37" i="22"/>
  <c r="R60" i="22"/>
  <c r="R61" i="22"/>
  <c r="Q29" i="22"/>
  <c r="Q71" i="22"/>
  <c r="T71" i="22" s="1"/>
  <c r="Q79" i="22"/>
  <c r="T79" i="22" s="1"/>
  <c r="R83" i="22"/>
  <c r="Q15" i="22"/>
  <c r="T15" i="22" s="1"/>
  <c r="Q19" i="22"/>
  <c r="Q40" i="22"/>
  <c r="T40" i="22" s="1"/>
  <c r="I68" i="22"/>
  <c r="T68" i="22" s="1"/>
  <c r="Q70" i="22"/>
  <c r="T70" i="22" s="1"/>
  <c r="I85" i="22"/>
  <c r="Q23" i="22"/>
  <c r="T23" i="22" s="1"/>
  <c r="R24" i="22"/>
  <c r="Q28" i="22"/>
  <c r="T28" i="22" s="1"/>
  <c r="Q39" i="22"/>
  <c r="T39" i="22" s="1"/>
  <c r="I43" i="22"/>
  <c r="Q62" i="22"/>
  <c r="R63" i="22"/>
  <c r="Q69" i="22"/>
  <c r="T69" i="22" s="1"/>
  <c r="Q78" i="22"/>
  <c r="T78" i="22" s="1"/>
  <c r="I32" i="22"/>
  <c r="T32" i="22" s="1"/>
  <c r="R33" i="22"/>
  <c r="Q72" i="22"/>
  <c r="T72" i="22" s="1"/>
  <c r="S40" i="11"/>
  <c r="S41" i="11"/>
  <c r="S42" i="11"/>
  <c r="S36" i="11"/>
  <c r="S37" i="11"/>
  <c r="G38" i="6"/>
  <c r="G37" i="5"/>
  <c r="G38" i="14"/>
  <c r="Q82" i="22" l="1"/>
  <c r="T82" i="22" s="1"/>
  <c r="R81" i="22"/>
  <c r="Q55" i="22"/>
  <c r="T55" i="22" s="1"/>
  <c r="R54" i="22"/>
  <c r="R76" i="22"/>
  <c r="R80" i="22"/>
  <c r="Q52" i="22"/>
  <c r="T52" i="22" s="1"/>
  <c r="R53" i="22"/>
  <c r="Q77" i="22"/>
  <c r="T77" i="22" s="1"/>
  <c r="Q56" i="22"/>
  <c r="D35" i="21"/>
  <c r="B35" i="21"/>
  <c r="E35" i="21"/>
  <c r="C35" i="21"/>
  <c r="G35" i="21"/>
  <c r="Z40" i="16" l="1"/>
  <c r="AA40" i="16"/>
  <c r="Y40" i="16"/>
  <c r="Q22" i="21"/>
  <c r="F34" i="21"/>
  <c r="I34" i="21" s="1"/>
  <c r="O33" i="21"/>
  <c r="F31" i="21"/>
  <c r="I31" i="21" s="1"/>
  <c r="S30" i="21"/>
  <c r="F30" i="21"/>
  <c r="I30" i="21" s="1"/>
  <c r="S29" i="21"/>
  <c r="F29" i="21"/>
  <c r="I29" i="21" s="1"/>
  <c r="F28" i="21"/>
  <c r="I28" i="21" s="1"/>
  <c r="S26" i="21"/>
  <c r="F26" i="21"/>
  <c r="I26" i="21" s="1"/>
  <c r="F25" i="21"/>
  <c r="F21" i="21"/>
  <c r="I21" i="21" s="1"/>
  <c r="S20" i="21"/>
  <c r="F20" i="21"/>
  <c r="I20" i="21" s="1"/>
  <c r="S19" i="21"/>
  <c r="F19" i="21"/>
  <c r="I19" i="21" s="1"/>
  <c r="F15" i="21"/>
  <c r="I15" i="21" s="1"/>
  <c r="F35" i="21" l="1"/>
  <c r="I35" i="21" l="1"/>
  <c r="S42" i="13" l="1"/>
  <c r="S36" i="13"/>
  <c r="S37" i="13"/>
  <c r="S38" i="13"/>
  <c r="S40" i="13"/>
  <c r="S41" i="13"/>
  <c r="O51" i="13"/>
  <c r="G51" i="13"/>
  <c r="B45" i="13"/>
  <c r="C45" i="13"/>
  <c r="D45" i="13"/>
  <c r="E45" i="13"/>
  <c r="B46" i="13"/>
  <c r="C46" i="13"/>
  <c r="D46" i="13"/>
  <c r="E46" i="13"/>
  <c r="B47" i="13"/>
  <c r="C47" i="13"/>
  <c r="D47" i="13"/>
  <c r="E47" i="13"/>
  <c r="C44" i="13"/>
  <c r="D44" i="13"/>
  <c r="E44" i="13"/>
  <c r="B44" i="13"/>
  <c r="C42" i="13"/>
  <c r="D42" i="13"/>
  <c r="E42" i="13"/>
  <c r="B42" i="13"/>
  <c r="F42" i="13" s="1"/>
  <c r="I42" i="13" s="1"/>
  <c r="C41" i="13"/>
  <c r="D41" i="13"/>
  <c r="E41" i="13"/>
  <c r="B41" i="13"/>
  <c r="C40" i="13"/>
  <c r="D40" i="13"/>
  <c r="E40" i="13"/>
  <c r="B40" i="13"/>
  <c r="F39" i="13"/>
  <c r="I39" i="13" s="1"/>
  <c r="C38" i="13"/>
  <c r="D38" i="13"/>
  <c r="E38" i="13"/>
  <c r="B38" i="13"/>
  <c r="C37" i="13"/>
  <c r="D37" i="13"/>
  <c r="E37" i="13"/>
  <c r="B37" i="13"/>
  <c r="C36" i="13"/>
  <c r="D36" i="13"/>
  <c r="E36" i="13"/>
  <c r="B36" i="13"/>
  <c r="C35" i="13"/>
  <c r="D35" i="13"/>
  <c r="E35" i="13"/>
  <c r="B35" i="13"/>
  <c r="E33" i="13"/>
  <c r="C33" i="13"/>
  <c r="D33" i="13"/>
  <c r="B33" i="13"/>
  <c r="C29" i="13"/>
  <c r="D29" i="13"/>
  <c r="E29" i="13"/>
  <c r="B29" i="13"/>
  <c r="C16" i="13"/>
  <c r="D16" i="13"/>
  <c r="E16" i="13"/>
  <c r="B16" i="13"/>
  <c r="D51" i="11"/>
  <c r="C51" i="11"/>
  <c r="I40" i="11"/>
  <c r="F42" i="11"/>
  <c r="I42" i="11" s="1"/>
  <c r="F41" i="11"/>
  <c r="I41" i="11" s="1"/>
  <c r="F40" i="11"/>
  <c r="F48" i="11"/>
  <c r="F47" i="11"/>
  <c r="I47" i="11" s="1"/>
  <c r="F46" i="11"/>
  <c r="I46" i="11" s="1"/>
  <c r="F45" i="11"/>
  <c r="I45" i="11" s="1"/>
  <c r="F44" i="11"/>
  <c r="I44" i="11" s="1"/>
  <c r="F37" i="11"/>
  <c r="I37" i="11" s="1"/>
  <c r="F36" i="11"/>
  <c r="I36" i="11" s="1"/>
  <c r="F16" i="16"/>
  <c r="K16" i="16"/>
  <c r="L16" i="16"/>
  <c r="F17" i="16"/>
  <c r="K17" i="16"/>
  <c r="K40" i="16" s="1"/>
  <c r="L17" i="16"/>
  <c r="F18" i="16"/>
  <c r="L18" i="16" s="1"/>
  <c r="K18" i="16"/>
  <c r="F19" i="16"/>
  <c r="K19" i="16"/>
  <c r="L19" i="16" s="1"/>
  <c r="F20" i="16"/>
  <c r="K20" i="16"/>
  <c r="L20" i="16"/>
  <c r="F21" i="16"/>
  <c r="K21" i="16"/>
  <c r="F22" i="16"/>
  <c r="K22" i="16"/>
  <c r="L22" i="16" s="1"/>
  <c r="F23" i="16"/>
  <c r="K23" i="16"/>
  <c r="L23" i="16"/>
  <c r="F24" i="16"/>
  <c r="L24" i="16" s="1"/>
  <c r="K24" i="16"/>
  <c r="F25" i="16"/>
  <c r="K25" i="16"/>
  <c r="L25" i="16"/>
  <c r="F26" i="16"/>
  <c r="K26" i="16"/>
  <c r="L26" i="16"/>
  <c r="F27" i="16"/>
  <c r="K27" i="16"/>
  <c r="L27" i="16"/>
  <c r="F28" i="16"/>
  <c r="K28" i="16"/>
  <c r="L28" i="16"/>
  <c r="F29" i="16"/>
  <c r="L29" i="16" s="1"/>
  <c r="K29" i="16"/>
  <c r="F30" i="16"/>
  <c r="K30" i="16"/>
  <c r="L30" i="16" s="1"/>
  <c r="F31" i="16"/>
  <c r="K31" i="16"/>
  <c r="L31" i="16"/>
  <c r="F32" i="16"/>
  <c r="L32" i="16" s="1"/>
  <c r="K32" i="16"/>
  <c r="F33" i="16"/>
  <c r="K33" i="16"/>
  <c r="L33" i="16"/>
  <c r="F34" i="16"/>
  <c r="K34" i="16"/>
  <c r="L34" i="16"/>
  <c r="F35" i="16"/>
  <c r="K35" i="16"/>
  <c r="L35" i="16"/>
  <c r="F36" i="16"/>
  <c r="K36" i="16"/>
  <c r="L36" i="16"/>
  <c r="F37" i="16"/>
  <c r="L37" i="16" s="1"/>
  <c r="K37" i="16"/>
  <c r="F38" i="16"/>
  <c r="K38" i="16"/>
  <c r="L38" i="16" s="1"/>
  <c r="F39" i="16"/>
  <c r="K39" i="16"/>
  <c r="L39" i="16"/>
  <c r="B40" i="16"/>
  <c r="C40" i="16"/>
  <c r="D40" i="16"/>
  <c r="E40" i="16"/>
  <c r="G40" i="16"/>
  <c r="H40" i="16"/>
  <c r="I40" i="16"/>
  <c r="J40" i="16"/>
  <c r="I48" i="11" l="1"/>
  <c r="F46" i="13"/>
  <c r="I46" i="13" s="1"/>
  <c r="C51" i="13"/>
  <c r="F44" i="13"/>
  <c r="I44" i="13" s="1"/>
  <c r="F38" i="13"/>
  <c r="I38" i="13" s="1"/>
  <c r="F47" i="13"/>
  <c r="I47" i="13" s="1"/>
  <c r="F45" i="13"/>
  <c r="I45" i="13" s="1"/>
  <c r="E51" i="13"/>
  <c r="D51" i="13"/>
  <c r="F48" i="13"/>
  <c r="I48" i="13" s="1"/>
  <c r="B51" i="13"/>
  <c r="S51" i="13"/>
  <c r="F40" i="13"/>
  <c r="I40" i="13" s="1"/>
  <c r="F41" i="13"/>
  <c r="I41" i="13" s="1"/>
  <c r="L40" i="16"/>
  <c r="F40" i="16"/>
  <c r="F51" i="13" l="1"/>
  <c r="I51" i="13" s="1"/>
  <c r="R16" i="16"/>
  <c r="W16" i="16"/>
  <c r="W17" i="16"/>
  <c r="F34" i="14" l="1"/>
  <c r="I34" i="14" s="1"/>
  <c r="C50" i="14"/>
  <c r="C63" i="14"/>
  <c r="B16" i="14"/>
  <c r="E71" i="14"/>
  <c r="D71" i="14"/>
  <c r="B71" i="14"/>
  <c r="B20" i="14"/>
  <c r="F71" i="14" l="1"/>
  <c r="F19" i="17" l="1"/>
  <c r="C19" i="17"/>
  <c r="B19" i="17"/>
  <c r="G17" i="17"/>
  <c r="D17" i="17"/>
  <c r="G16" i="17"/>
  <c r="D16" i="17"/>
  <c r="G15" i="17"/>
  <c r="D15" i="17"/>
  <c r="G14" i="17"/>
  <c r="W33" i="16"/>
  <c r="R33" i="16"/>
  <c r="X33" i="16" l="1"/>
  <c r="Y33" i="16"/>
  <c r="Z33" i="16"/>
  <c r="Q18" i="3"/>
  <c r="Q17" i="3"/>
  <c r="Q16" i="3"/>
  <c r="Q15" i="3"/>
  <c r="P14" i="3"/>
  <c r="P13" i="3"/>
  <c r="AA33" i="16" l="1"/>
  <c r="V40" i="16"/>
  <c r="U40" i="16"/>
  <c r="T40" i="16"/>
  <c r="S40" i="16"/>
  <c r="Q40" i="16"/>
  <c r="P40" i="16"/>
  <c r="O40" i="16"/>
  <c r="N40" i="16"/>
  <c r="W39" i="16"/>
  <c r="R39" i="16"/>
  <c r="Y39" i="16" s="1"/>
  <c r="W38" i="16"/>
  <c r="Z38" i="16" s="1"/>
  <c r="R38" i="16"/>
  <c r="Y38" i="16" s="1"/>
  <c r="W37" i="16"/>
  <c r="R37" i="16"/>
  <c r="W36" i="16"/>
  <c r="Z36" i="16" s="1"/>
  <c r="R36" i="16"/>
  <c r="W35" i="16"/>
  <c r="R35" i="16"/>
  <c r="Y35" i="16" s="1"/>
  <c r="W34" i="16"/>
  <c r="R34" i="16"/>
  <c r="X34" i="16" s="1"/>
  <c r="W32" i="16"/>
  <c r="R32" i="16"/>
  <c r="Y32" i="16" s="1"/>
  <c r="W31" i="16"/>
  <c r="Z31" i="16" s="1"/>
  <c r="R31" i="16"/>
  <c r="Y31" i="16" s="1"/>
  <c r="W30" i="16"/>
  <c r="Z30" i="16" s="1"/>
  <c r="R30" i="16"/>
  <c r="W29" i="16"/>
  <c r="R29" i="16"/>
  <c r="Y29" i="16" s="1"/>
  <c r="W28" i="16"/>
  <c r="R28" i="16"/>
  <c r="Y28" i="16" s="1"/>
  <c r="W27" i="16"/>
  <c r="R27" i="16"/>
  <c r="W26" i="16"/>
  <c r="Z26" i="16" s="1"/>
  <c r="R26" i="16"/>
  <c r="W25" i="16"/>
  <c r="Z25" i="16" s="1"/>
  <c r="R25" i="16"/>
  <c r="W24" i="16"/>
  <c r="R24" i="16"/>
  <c r="Y24" i="16" s="1"/>
  <c r="W23" i="16"/>
  <c r="R23" i="16"/>
  <c r="W22" i="16"/>
  <c r="Z22" i="16" s="1"/>
  <c r="R22" i="16"/>
  <c r="W20" i="16"/>
  <c r="R20" i="16"/>
  <c r="Y20" i="16" s="1"/>
  <c r="W19" i="16"/>
  <c r="R19" i="16"/>
  <c r="W18" i="16"/>
  <c r="Z18" i="16" s="1"/>
  <c r="R18" i="16"/>
  <c r="Y18" i="16" s="1"/>
  <c r="Z17" i="16"/>
  <c r="R17" i="16"/>
  <c r="T12" i="16"/>
  <c r="O17" i="11"/>
  <c r="O16" i="11"/>
  <c r="K50" i="11"/>
  <c r="K50" i="13" s="1"/>
  <c r="L50" i="11"/>
  <c r="L50" i="13" s="1"/>
  <c r="M50" i="11"/>
  <c r="M50" i="13" s="1"/>
  <c r="J50" i="11"/>
  <c r="J50" i="13" s="1"/>
  <c r="K43" i="11"/>
  <c r="K43" i="13" s="1"/>
  <c r="L43" i="11"/>
  <c r="L43" i="13" s="1"/>
  <c r="M43" i="11"/>
  <c r="M43" i="13" s="1"/>
  <c r="J43" i="11"/>
  <c r="J43" i="13" s="1"/>
  <c r="K42" i="11"/>
  <c r="K42" i="13" s="1"/>
  <c r="L42" i="11"/>
  <c r="L42" i="13" s="1"/>
  <c r="M42" i="11"/>
  <c r="M42" i="13" s="1"/>
  <c r="J42" i="11"/>
  <c r="J42" i="13" s="1"/>
  <c r="K41" i="11"/>
  <c r="K41" i="13" s="1"/>
  <c r="L41" i="11"/>
  <c r="L41" i="13" s="1"/>
  <c r="M41" i="11"/>
  <c r="M41" i="13" s="1"/>
  <c r="J41" i="11"/>
  <c r="J41" i="13" s="1"/>
  <c r="K40" i="11"/>
  <c r="K40" i="13" s="1"/>
  <c r="L40" i="11"/>
  <c r="L40" i="13" s="1"/>
  <c r="M40" i="11"/>
  <c r="M40" i="13" s="1"/>
  <c r="J40" i="11"/>
  <c r="J40" i="13" s="1"/>
  <c r="K39" i="11"/>
  <c r="K39" i="13" s="1"/>
  <c r="L39" i="11"/>
  <c r="L39" i="13" s="1"/>
  <c r="M39" i="11"/>
  <c r="M39" i="13" s="1"/>
  <c r="J39" i="11"/>
  <c r="J39" i="13" s="1"/>
  <c r="K38" i="11"/>
  <c r="K38" i="13" s="1"/>
  <c r="L38" i="11"/>
  <c r="L38" i="13" s="1"/>
  <c r="M38" i="11"/>
  <c r="M38" i="13" s="1"/>
  <c r="J38" i="11"/>
  <c r="J38" i="13" s="1"/>
  <c r="K37" i="11"/>
  <c r="K37" i="13" s="1"/>
  <c r="L37" i="11"/>
  <c r="L37" i="13" s="1"/>
  <c r="M37" i="11"/>
  <c r="M37" i="13" s="1"/>
  <c r="J37" i="11"/>
  <c r="J37" i="13" s="1"/>
  <c r="K36" i="11"/>
  <c r="K36" i="13" s="1"/>
  <c r="L36" i="11"/>
  <c r="L36" i="13" s="1"/>
  <c r="M36" i="11"/>
  <c r="M36" i="13" s="1"/>
  <c r="J36" i="11"/>
  <c r="J36" i="13" s="1"/>
  <c r="K35" i="11"/>
  <c r="K35" i="13" s="1"/>
  <c r="L35" i="11"/>
  <c r="L35" i="13" s="1"/>
  <c r="M35" i="11"/>
  <c r="M35" i="13" s="1"/>
  <c r="J35" i="11"/>
  <c r="J35" i="13" s="1"/>
  <c r="K34" i="11"/>
  <c r="K34" i="13" s="1"/>
  <c r="L34" i="11"/>
  <c r="L34" i="13" s="1"/>
  <c r="M34" i="11"/>
  <c r="M34" i="13" s="1"/>
  <c r="J34" i="11"/>
  <c r="J34" i="13" s="1"/>
  <c r="K33" i="11"/>
  <c r="K33" i="13" s="1"/>
  <c r="L33" i="11"/>
  <c r="L33" i="13" s="1"/>
  <c r="M33" i="11"/>
  <c r="M33" i="13" s="1"/>
  <c r="J33" i="11"/>
  <c r="J33" i="13" s="1"/>
  <c r="K32" i="11"/>
  <c r="K32" i="13" s="1"/>
  <c r="L32" i="11"/>
  <c r="L32" i="13" s="1"/>
  <c r="M32" i="11"/>
  <c r="M32" i="13" s="1"/>
  <c r="J32" i="11"/>
  <c r="J32" i="13" s="1"/>
  <c r="K31" i="11"/>
  <c r="K31" i="13" s="1"/>
  <c r="L31" i="11"/>
  <c r="L31" i="13" s="1"/>
  <c r="M31" i="11"/>
  <c r="M31" i="13" s="1"/>
  <c r="J31" i="11"/>
  <c r="J31" i="13" s="1"/>
  <c r="K30" i="11"/>
  <c r="K30" i="13" s="1"/>
  <c r="L30" i="11"/>
  <c r="L30" i="13" s="1"/>
  <c r="M30" i="11"/>
  <c r="M30" i="13" s="1"/>
  <c r="J30" i="11"/>
  <c r="J30" i="13" s="1"/>
  <c r="K29" i="11"/>
  <c r="K29" i="13" s="1"/>
  <c r="L29" i="11"/>
  <c r="L29" i="13" s="1"/>
  <c r="M29" i="11"/>
  <c r="M29" i="13" s="1"/>
  <c r="J29" i="11"/>
  <c r="J29" i="13" s="1"/>
  <c r="K28" i="11"/>
  <c r="K28" i="13" s="1"/>
  <c r="L28" i="11"/>
  <c r="L28" i="13" s="1"/>
  <c r="M28" i="11"/>
  <c r="M28" i="13" s="1"/>
  <c r="J28" i="11"/>
  <c r="J28" i="13" s="1"/>
  <c r="K26" i="11"/>
  <c r="K26" i="13" s="1"/>
  <c r="L26" i="11"/>
  <c r="L26" i="13" s="1"/>
  <c r="M26" i="11"/>
  <c r="M26" i="13" s="1"/>
  <c r="J26" i="11"/>
  <c r="J26" i="13" s="1"/>
  <c r="K27" i="11"/>
  <c r="K27" i="13" s="1"/>
  <c r="L27" i="11"/>
  <c r="L27" i="13" s="1"/>
  <c r="M27" i="11"/>
  <c r="M27" i="13" s="1"/>
  <c r="J27" i="11"/>
  <c r="J27" i="13" s="1"/>
  <c r="K25" i="11"/>
  <c r="K25" i="13" s="1"/>
  <c r="L25" i="11"/>
  <c r="L25" i="13" s="1"/>
  <c r="M25" i="11"/>
  <c r="M25" i="13" s="1"/>
  <c r="J25" i="11"/>
  <c r="J25" i="13" s="1"/>
  <c r="K24" i="11"/>
  <c r="K24" i="13" s="1"/>
  <c r="L24" i="11"/>
  <c r="L24" i="13" s="1"/>
  <c r="M24" i="11"/>
  <c r="J24" i="11"/>
  <c r="J24" i="13" s="1"/>
  <c r="K23" i="11"/>
  <c r="K23" i="13" s="1"/>
  <c r="L23" i="11"/>
  <c r="L23" i="13" s="1"/>
  <c r="M23" i="11"/>
  <c r="M23" i="13" s="1"/>
  <c r="J23" i="11"/>
  <c r="J23" i="13" s="1"/>
  <c r="K21" i="11"/>
  <c r="K21" i="13" s="1"/>
  <c r="L21" i="11"/>
  <c r="L21" i="13" s="1"/>
  <c r="M21" i="11"/>
  <c r="M21" i="13" s="1"/>
  <c r="J21" i="11"/>
  <c r="J21" i="13" s="1"/>
  <c r="K20" i="11"/>
  <c r="K20" i="13" s="1"/>
  <c r="L20" i="11"/>
  <c r="L20" i="13" s="1"/>
  <c r="M20" i="11"/>
  <c r="M20" i="13" s="1"/>
  <c r="J20" i="11"/>
  <c r="J20" i="13" s="1"/>
  <c r="K19" i="11"/>
  <c r="K19" i="13" s="1"/>
  <c r="L19" i="11"/>
  <c r="L19" i="13" s="1"/>
  <c r="M19" i="11"/>
  <c r="M19" i="13" s="1"/>
  <c r="J19" i="11"/>
  <c r="J19" i="13" s="1"/>
  <c r="K18" i="11"/>
  <c r="K18" i="13" s="1"/>
  <c r="L18" i="11"/>
  <c r="L18" i="13" s="1"/>
  <c r="M18" i="11"/>
  <c r="M18" i="13" s="1"/>
  <c r="J18" i="11"/>
  <c r="J18" i="13" s="1"/>
  <c r="K17" i="11"/>
  <c r="K17" i="13" s="1"/>
  <c r="L17" i="11"/>
  <c r="L17" i="13" s="1"/>
  <c r="M17" i="11"/>
  <c r="M17" i="13" s="1"/>
  <c r="J17" i="11"/>
  <c r="J17" i="13" s="1"/>
  <c r="K16" i="11"/>
  <c r="K16" i="13" s="1"/>
  <c r="L16" i="11"/>
  <c r="L16" i="13" s="1"/>
  <c r="M16" i="11"/>
  <c r="M16" i="13" s="1"/>
  <c r="J16" i="11"/>
  <c r="J16" i="13" s="1"/>
  <c r="G23" i="7"/>
  <c r="G15" i="7"/>
  <c r="G8" i="7"/>
  <c r="F62" i="14"/>
  <c r="E66" i="14"/>
  <c r="E65" i="14"/>
  <c r="D66" i="14"/>
  <c r="D65" i="14"/>
  <c r="C66" i="14"/>
  <c r="C65" i="14"/>
  <c r="B66" i="14"/>
  <c r="B65" i="14"/>
  <c r="E46" i="14"/>
  <c r="E45" i="14"/>
  <c r="E44" i="14"/>
  <c r="E43" i="14"/>
  <c r="E42" i="14"/>
  <c r="E41" i="14"/>
  <c r="D46" i="14"/>
  <c r="D45" i="14"/>
  <c r="D44" i="14"/>
  <c r="D43" i="14"/>
  <c r="D42" i="14"/>
  <c r="D41" i="14"/>
  <c r="C46" i="14"/>
  <c r="C45" i="14"/>
  <c r="C44" i="14"/>
  <c r="C43" i="14"/>
  <c r="C42" i="14"/>
  <c r="C41" i="14"/>
  <c r="B46" i="14"/>
  <c r="B45" i="14"/>
  <c r="B44" i="14"/>
  <c r="B43" i="14"/>
  <c r="B42" i="14"/>
  <c r="B41" i="14"/>
  <c r="O15" i="21" l="1"/>
  <c r="O23" i="21"/>
  <c r="O31" i="21"/>
  <c r="S31" i="21" s="1"/>
  <c r="X37" i="16"/>
  <c r="AA37" i="16" s="1"/>
  <c r="X25" i="16"/>
  <c r="AA25" i="16" s="1"/>
  <c r="X19" i="16"/>
  <c r="AA19" i="16" s="1"/>
  <c r="X39" i="16"/>
  <c r="AA39" i="16" s="1"/>
  <c r="X38" i="16"/>
  <c r="AA38" i="16" s="1"/>
  <c r="Y37" i="16"/>
  <c r="X36" i="16"/>
  <c r="AA36" i="16" s="1"/>
  <c r="Y36" i="16"/>
  <c r="X35" i="16"/>
  <c r="Z35" i="16"/>
  <c r="AA34" i="16"/>
  <c r="X32" i="16"/>
  <c r="X28" i="16"/>
  <c r="AA28" i="16" s="1"/>
  <c r="X27" i="16"/>
  <c r="Y27" i="16"/>
  <c r="X26" i="16"/>
  <c r="AA26" i="16" s="1"/>
  <c r="X24" i="16"/>
  <c r="AA24" i="16" s="1"/>
  <c r="X20" i="16"/>
  <c r="Y19" i="16"/>
  <c r="R40" i="16"/>
  <c r="Z23" i="16"/>
  <c r="Z28" i="16"/>
  <c r="Z27" i="16"/>
  <c r="Z29" i="16"/>
  <c r="Z34" i="16"/>
  <c r="Z37" i="16"/>
  <c r="Y23" i="16"/>
  <c r="Y26" i="16"/>
  <c r="Y30" i="16"/>
  <c r="Y17" i="16"/>
  <c r="Y22" i="16"/>
  <c r="Z16" i="16"/>
  <c r="Z19" i="16"/>
  <c r="Z24" i="16"/>
  <c r="Y25" i="16"/>
  <c r="Z32" i="16"/>
  <c r="Y34" i="16"/>
  <c r="X16" i="16"/>
  <c r="W40" i="16"/>
  <c r="X17" i="16"/>
  <c r="AA17" i="16" s="1"/>
  <c r="X22" i="16"/>
  <c r="AA22" i="16" s="1"/>
  <c r="X30" i="16"/>
  <c r="AA30" i="16" s="1"/>
  <c r="X29" i="16"/>
  <c r="AA29" i="16" s="1"/>
  <c r="X18" i="16"/>
  <c r="AA18" i="16" s="1"/>
  <c r="Z20" i="16"/>
  <c r="X23" i="16"/>
  <c r="AA23" i="16" s="1"/>
  <c r="X31" i="16"/>
  <c r="AA31" i="16" s="1"/>
  <c r="Z39" i="16"/>
  <c r="N50" i="13"/>
  <c r="Q50" i="13" s="1"/>
  <c r="N44" i="13"/>
  <c r="N43" i="13"/>
  <c r="Q43" i="13" s="1"/>
  <c r="N42" i="13"/>
  <c r="N41" i="13"/>
  <c r="N40" i="13"/>
  <c r="N39" i="13"/>
  <c r="N38" i="13"/>
  <c r="N37" i="13"/>
  <c r="N36" i="13"/>
  <c r="N35" i="13"/>
  <c r="Q35" i="13" s="1"/>
  <c r="N34" i="13"/>
  <c r="N33" i="13"/>
  <c r="Q33" i="13" s="1"/>
  <c r="N32" i="13"/>
  <c r="Q32" i="13" s="1"/>
  <c r="N31" i="13"/>
  <c r="Q31" i="13" s="1"/>
  <c r="N30" i="13"/>
  <c r="Q30" i="13" s="1"/>
  <c r="N29" i="13"/>
  <c r="Q29" i="13" s="1"/>
  <c r="N28" i="13"/>
  <c r="Q28" i="13" s="1"/>
  <c r="N27" i="13"/>
  <c r="N26" i="13"/>
  <c r="Q26" i="13" s="1"/>
  <c r="N25" i="13"/>
  <c r="Q25" i="13" s="1"/>
  <c r="N24" i="13"/>
  <c r="R24" i="13" s="1"/>
  <c r="N23" i="13"/>
  <c r="Q23" i="13" s="1"/>
  <c r="N21" i="13"/>
  <c r="Q21" i="13" s="1"/>
  <c r="N20" i="13"/>
  <c r="Q20" i="13" s="1"/>
  <c r="N19" i="13"/>
  <c r="Q19" i="13" s="1"/>
  <c r="N18" i="13"/>
  <c r="N17" i="13"/>
  <c r="N16" i="13"/>
  <c r="Q16" i="13" s="1"/>
  <c r="F37" i="13"/>
  <c r="I37" i="13" s="1"/>
  <c r="F36" i="13"/>
  <c r="I36" i="13" s="1"/>
  <c r="S35" i="13"/>
  <c r="F35" i="13"/>
  <c r="S33" i="13"/>
  <c r="F33" i="13"/>
  <c r="I33" i="13" s="1"/>
  <c r="S29" i="13"/>
  <c r="F29" i="13"/>
  <c r="I29" i="13" s="1"/>
  <c r="S25" i="13"/>
  <c r="I25" i="13"/>
  <c r="S24" i="13"/>
  <c r="I24" i="13"/>
  <c r="S16" i="13"/>
  <c r="F16" i="13"/>
  <c r="I71" i="14"/>
  <c r="E70" i="14"/>
  <c r="E69" i="14"/>
  <c r="D70" i="14"/>
  <c r="D69" i="14"/>
  <c r="C70" i="14"/>
  <c r="C69" i="14"/>
  <c r="B70" i="14"/>
  <c r="B69" i="14"/>
  <c r="N16" i="11"/>
  <c r="N50" i="11"/>
  <c r="N41" i="11"/>
  <c r="R41" i="11" s="1"/>
  <c r="N42" i="11"/>
  <c r="R42" i="11" s="1"/>
  <c r="N43" i="11"/>
  <c r="N44" i="11"/>
  <c r="N38" i="11"/>
  <c r="N39" i="11"/>
  <c r="R39" i="11" s="1"/>
  <c r="N37" i="11"/>
  <c r="R37" i="11" s="1"/>
  <c r="Q18" i="13" l="1"/>
  <c r="T18" i="13" s="1"/>
  <c r="R18" i="13"/>
  <c r="Q27" i="13"/>
  <c r="T27" i="13" s="1"/>
  <c r="R27" i="13"/>
  <c r="Q39" i="13"/>
  <c r="T39" i="13" s="1"/>
  <c r="R39" i="13"/>
  <c r="R16" i="13"/>
  <c r="R40" i="13"/>
  <c r="Q40" i="13"/>
  <c r="T40" i="13" s="1"/>
  <c r="Q36" i="13"/>
  <c r="T36" i="13" s="1"/>
  <c r="R36" i="13"/>
  <c r="R37" i="13"/>
  <c r="Q37" i="13"/>
  <c r="T37" i="13" s="1"/>
  <c r="R41" i="13"/>
  <c r="Q41" i="13"/>
  <c r="T41" i="13" s="1"/>
  <c r="R35" i="13"/>
  <c r="R38" i="13"/>
  <c r="Q38" i="13"/>
  <c r="T38" i="13" s="1"/>
  <c r="Q42" i="13"/>
  <c r="T42" i="13" s="1"/>
  <c r="R42" i="13"/>
  <c r="S15" i="21"/>
  <c r="O35" i="21"/>
  <c r="S35" i="21" s="1"/>
  <c r="Q50" i="11"/>
  <c r="AA35" i="16"/>
  <c r="AA32" i="16"/>
  <c r="AA27" i="16"/>
  <c r="AA20" i="16"/>
  <c r="X40" i="16"/>
  <c r="Y16" i="16"/>
  <c r="T33" i="13"/>
  <c r="Q17" i="13"/>
  <c r="Q24" i="13"/>
  <c r="T24" i="13" s="1"/>
  <c r="T29" i="13"/>
  <c r="T25" i="13"/>
  <c r="R29" i="13"/>
  <c r="R33" i="13"/>
  <c r="I16" i="13"/>
  <c r="T16" i="13" s="1"/>
  <c r="I35" i="13"/>
  <c r="T35" i="13" s="1"/>
  <c r="F67" i="14"/>
  <c r="I67" i="14" s="1"/>
  <c r="F68" i="14"/>
  <c r="I68" i="14" s="1"/>
  <c r="F69" i="14"/>
  <c r="I69" i="14" s="1"/>
  <c r="F70" i="14"/>
  <c r="I70" i="14" s="1"/>
  <c r="F72" i="14"/>
  <c r="I72" i="14" s="1"/>
  <c r="B19" i="14"/>
  <c r="AA16" i="16" l="1"/>
  <c r="E25" i="7"/>
  <c r="D25" i="7"/>
  <c r="C25" i="7"/>
  <c r="B25" i="7"/>
  <c r="F36" i="6"/>
  <c r="I36" i="6" s="1"/>
  <c r="F37" i="6"/>
  <c r="I37" i="6" s="1"/>
  <c r="L33" i="21" l="1"/>
  <c r="J33" i="21"/>
  <c r="M33" i="21"/>
  <c r="K33" i="21"/>
  <c r="N33" i="21" s="1"/>
  <c r="Q33" i="21" s="1"/>
  <c r="F25" i="7"/>
  <c r="I25" i="7" s="1"/>
  <c r="F35" i="5"/>
  <c r="I35" i="5" s="1"/>
  <c r="F36" i="5"/>
  <c r="I36" i="5" s="1"/>
  <c r="E37" i="14"/>
  <c r="E33" i="14"/>
  <c r="E31" i="14"/>
  <c r="E30" i="14"/>
  <c r="E27" i="14"/>
  <c r="E26" i="14"/>
  <c r="E24" i="14"/>
  <c r="E23" i="14"/>
  <c r="E21" i="14"/>
  <c r="E14" i="14"/>
  <c r="E10" i="14"/>
  <c r="E9" i="14"/>
  <c r="D37" i="14"/>
  <c r="D33" i="14"/>
  <c r="D31" i="14"/>
  <c r="D26" i="14"/>
  <c r="D24" i="14"/>
  <c r="D23" i="14"/>
  <c r="D21" i="14"/>
  <c r="D14" i="14"/>
  <c r="D10" i="14"/>
  <c r="D9" i="14"/>
  <c r="C37" i="14"/>
  <c r="C33" i="14"/>
  <c r="C31" i="14"/>
  <c r="C30" i="14"/>
  <c r="C27" i="14"/>
  <c r="C26" i="14"/>
  <c r="C24" i="14"/>
  <c r="C23" i="14"/>
  <c r="C22" i="14"/>
  <c r="C21" i="14"/>
  <c r="C14" i="14"/>
  <c r="C10" i="14"/>
  <c r="C9" i="14"/>
  <c r="B37" i="14"/>
  <c r="B33" i="14"/>
  <c r="B31" i="14"/>
  <c r="B30" i="14"/>
  <c r="B27" i="14"/>
  <c r="B26" i="14"/>
  <c r="B24" i="14"/>
  <c r="B23" i="14"/>
  <c r="B22" i="14"/>
  <c r="B21" i="14"/>
  <c r="B14" i="14"/>
  <c r="B10" i="14"/>
  <c r="B9" i="14"/>
  <c r="F66" i="14"/>
  <c r="I66" i="14" s="1"/>
  <c r="F65" i="14"/>
  <c r="I65" i="14" s="1"/>
  <c r="F64" i="14"/>
  <c r="I64" i="14" s="1"/>
  <c r="F63" i="14"/>
  <c r="I63" i="14" s="1"/>
  <c r="I62" i="14"/>
  <c r="F61" i="14"/>
  <c r="I61" i="14" s="1"/>
  <c r="F60" i="14"/>
  <c r="F59" i="14"/>
  <c r="F58" i="14"/>
  <c r="I58" i="14" s="1"/>
  <c r="F57" i="14"/>
  <c r="I57" i="14" s="1"/>
  <c r="F56" i="14"/>
  <c r="I56" i="14" s="1"/>
  <c r="F55" i="14"/>
  <c r="I55" i="14" s="1"/>
  <c r="F54" i="14"/>
  <c r="I54" i="14" s="1"/>
  <c r="F53" i="14"/>
  <c r="I53" i="14" s="1"/>
  <c r="F52" i="14"/>
  <c r="I52" i="14" s="1"/>
  <c r="F51" i="14"/>
  <c r="I51" i="14" s="1"/>
  <c r="F50" i="14"/>
  <c r="I50" i="14" s="1"/>
  <c r="F49" i="14"/>
  <c r="I49" i="14" s="1"/>
  <c r="F48" i="14"/>
  <c r="I48" i="14" s="1"/>
  <c r="F47" i="14"/>
  <c r="I47" i="14" s="1"/>
  <c r="F46" i="14"/>
  <c r="F45" i="14"/>
  <c r="I45" i="14" s="1"/>
  <c r="F44" i="14"/>
  <c r="I44" i="14" s="1"/>
  <c r="F43" i="14"/>
  <c r="F42" i="14"/>
  <c r="I42" i="14" s="1"/>
  <c r="F41" i="14"/>
  <c r="F40" i="14"/>
  <c r="I40" i="14" s="1"/>
  <c r="F39" i="14"/>
  <c r="I39" i="14" s="1"/>
  <c r="E38" i="14"/>
  <c r="D38" i="14"/>
  <c r="C38" i="14"/>
  <c r="B38" i="14"/>
  <c r="F25" i="14"/>
  <c r="I25" i="14" s="1"/>
  <c r="F20" i="14"/>
  <c r="I20" i="14" s="1"/>
  <c r="F19" i="14"/>
  <c r="I19" i="14" s="1"/>
  <c r="F16" i="14"/>
  <c r="I16" i="14" s="1"/>
  <c r="F26" i="14" l="1"/>
  <c r="I26" i="14" s="1"/>
  <c r="M89" i="22"/>
  <c r="N89" i="22" s="1"/>
  <c r="B73" i="14"/>
  <c r="F13" i="14"/>
  <c r="I13" i="14" s="1"/>
  <c r="F22" i="14"/>
  <c r="I22" i="14" s="1"/>
  <c r="F32" i="14"/>
  <c r="I32" i="14" s="1"/>
  <c r="F12" i="14"/>
  <c r="I12" i="14" s="1"/>
  <c r="F11" i="14"/>
  <c r="I11" i="14" s="1"/>
  <c r="F33" i="14"/>
  <c r="I33" i="14" s="1"/>
  <c r="F14" i="14"/>
  <c r="I14" i="14" s="1"/>
  <c r="F37" i="14"/>
  <c r="I37" i="14" s="1"/>
  <c r="F27" i="14"/>
  <c r="I27" i="14" s="1"/>
  <c r="F35" i="14"/>
  <c r="F36" i="14"/>
  <c r="I36" i="14" s="1"/>
  <c r="C73" i="14"/>
  <c r="E73" i="14"/>
  <c r="D73" i="14"/>
  <c r="F73" i="14" s="1"/>
  <c r="I41" i="14"/>
  <c r="F18" i="14"/>
  <c r="I18" i="14" s="1"/>
  <c r="F28" i="14"/>
  <c r="I28" i="14" s="1"/>
  <c r="F21" i="14"/>
  <c r="I21" i="14" s="1"/>
  <c r="F29" i="14"/>
  <c r="I29" i="14" s="1"/>
  <c r="F10" i="14"/>
  <c r="I10" i="14" s="1"/>
  <c r="F24" i="14"/>
  <c r="I24" i="14" s="1"/>
  <c r="F17" i="14"/>
  <c r="I17" i="14" s="1"/>
  <c r="F23" i="14"/>
  <c r="I23" i="14" s="1"/>
  <c r="F30" i="14"/>
  <c r="I30" i="14" s="1"/>
  <c r="F31" i="14"/>
  <c r="I31" i="14" s="1"/>
  <c r="F9" i="14"/>
  <c r="I9" i="14" s="1"/>
  <c r="I43" i="14"/>
  <c r="I60" i="14"/>
  <c r="I46" i="14"/>
  <c r="F29" i="11"/>
  <c r="F18" i="11"/>
  <c r="I18" i="11" s="1"/>
  <c r="F24" i="11"/>
  <c r="F33" i="11"/>
  <c r="F25" i="11"/>
  <c r="F38" i="11"/>
  <c r="Q37" i="11"/>
  <c r="T37" i="11" s="1"/>
  <c r="N34" i="11"/>
  <c r="N33" i="11"/>
  <c r="N32" i="11"/>
  <c r="N28" i="11"/>
  <c r="N27" i="11"/>
  <c r="R27" i="11" s="1"/>
  <c r="N26" i="11"/>
  <c r="S38" i="11"/>
  <c r="Q43" i="11"/>
  <c r="Q41" i="11"/>
  <c r="T41" i="11" s="1"/>
  <c r="N40" i="11"/>
  <c r="R40" i="11" s="1"/>
  <c r="N36" i="11"/>
  <c r="R36" i="11" s="1"/>
  <c r="N35" i="11"/>
  <c r="N31" i="11"/>
  <c r="N30" i="11"/>
  <c r="N29" i="11"/>
  <c r="N25" i="11"/>
  <c r="N24" i="11"/>
  <c r="N23" i="11"/>
  <c r="N21" i="11"/>
  <c r="N20" i="11"/>
  <c r="N19" i="11"/>
  <c r="N18" i="11"/>
  <c r="N17" i="11"/>
  <c r="I35" i="14" l="1"/>
  <c r="F8" i="14"/>
  <c r="I8" i="14" s="1"/>
  <c r="R18" i="11"/>
  <c r="N48" i="22"/>
  <c r="Q48" i="22" s="1"/>
  <c r="N47" i="22"/>
  <c r="Q47" i="22" s="1"/>
  <c r="I38" i="11"/>
  <c r="R38" i="11"/>
  <c r="F38" i="14"/>
  <c r="Q38" i="11"/>
  <c r="T38" i="11" s="1"/>
  <c r="Q36" i="11"/>
  <c r="T36" i="11" s="1"/>
  <c r="Q42" i="11"/>
  <c r="T42" i="11" s="1"/>
  <c r="Q39" i="11"/>
  <c r="T39" i="11" s="1"/>
  <c r="Q40" i="11"/>
  <c r="T40" i="11" s="1"/>
  <c r="I73" i="14" l="1"/>
  <c r="F75" i="14"/>
  <c r="I38" i="14"/>
  <c r="O51" i="11"/>
  <c r="G51" i="11"/>
  <c r="E51" i="11"/>
  <c r="B51" i="11"/>
  <c r="S35" i="11"/>
  <c r="Q35" i="11"/>
  <c r="F35" i="11"/>
  <c r="I35" i="11" s="1"/>
  <c r="S33" i="11"/>
  <c r="Q33" i="11"/>
  <c r="R33" i="11"/>
  <c r="Q32" i="11"/>
  <c r="F32" i="11"/>
  <c r="Q31" i="11"/>
  <c r="F31" i="11"/>
  <c r="Q30" i="11"/>
  <c r="F30" i="11"/>
  <c r="S29" i="11"/>
  <c r="Q29" i="11"/>
  <c r="R29" i="11"/>
  <c r="Q28" i="11"/>
  <c r="Q27" i="11"/>
  <c r="T27" i="11" s="1"/>
  <c r="F27" i="11"/>
  <c r="Q26" i="11"/>
  <c r="S25" i="11"/>
  <c r="R25" i="11"/>
  <c r="Q25" i="11"/>
  <c r="I25" i="11"/>
  <c r="S24" i="11"/>
  <c r="R24" i="11"/>
  <c r="Q24" i="11"/>
  <c r="I24" i="11"/>
  <c r="Q23" i="11"/>
  <c r="F23" i="11"/>
  <c r="Q21" i="11"/>
  <c r="F21" i="11"/>
  <c r="Q20" i="11"/>
  <c r="F20" i="11"/>
  <c r="Q19" i="11"/>
  <c r="F19" i="11"/>
  <c r="Q18" i="11"/>
  <c r="T18" i="11" s="1"/>
  <c r="Q17" i="11"/>
  <c r="F17" i="11"/>
  <c r="S16" i="11"/>
  <c r="Q16" i="11"/>
  <c r="F16" i="11"/>
  <c r="R89" i="22" l="1"/>
  <c r="R16" i="11"/>
  <c r="F51" i="11"/>
  <c r="I51" i="11" s="1"/>
  <c r="Q89" i="22"/>
  <c r="T89" i="22" s="1"/>
  <c r="R35" i="11"/>
  <c r="T35" i="11"/>
  <c r="I16" i="11"/>
  <c r="T16" i="11" s="1"/>
  <c r="T25" i="11"/>
  <c r="S51" i="11"/>
  <c r="I33" i="11"/>
  <c r="T33" i="11" s="1"/>
  <c r="T24" i="11"/>
  <c r="I29" i="11"/>
  <c r="T29" i="11" s="1"/>
  <c r="C8" i="7" l="1"/>
  <c r="D8" i="7"/>
  <c r="E8" i="7"/>
  <c r="C9" i="7"/>
  <c r="D9" i="7"/>
  <c r="E9" i="7"/>
  <c r="C10" i="7"/>
  <c r="D10" i="7"/>
  <c r="E10" i="7"/>
  <c r="C11" i="7"/>
  <c r="D11" i="7"/>
  <c r="E11" i="7"/>
  <c r="C12" i="7"/>
  <c r="D12" i="7"/>
  <c r="E12" i="7"/>
  <c r="C13" i="7"/>
  <c r="D13" i="7"/>
  <c r="E13" i="7"/>
  <c r="C14" i="7"/>
  <c r="D14" i="7"/>
  <c r="E14" i="7"/>
  <c r="C15" i="7"/>
  <c r="D15" i="7"/>
  <c r="E15" i="7"/>
  <c r="C16" i="7"/>
  <c r="D16" i="7"/>
  <c r="E16" i="7"/>
  <c r="C17" i="7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22" i="7"/>
  <c r="D22" i="7"/>
  <c r="E22" i="7"/>
  <c r="C23" i="7"/>
  <c r="D23" i="7"/>
  <c r="E23" i="7"/>
  <c r="C24" i="7"/>
  <c r="D24" i="7"/>
  <c r="E24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F35" i="6"/>
  <c r="I35" i="6" s="1"/>
  <c r="F34" i="6"/>
  <c r="I34" i="6" s="1"/>
  <c r="F33" i="6"/>
  <c r="I33" i="6" s="1"/>
  <c r="F32" i="6"/>
  <c r="I32" i="6" s="1"/>
  <c r="F31" i="6"/>
  <c r="I31" i="6" s="1"/>
  <c r="F30" i="6"/>
  <c r="I30" i="6" s="1"/>
  <c r="F29" i="6"/>
  <c r="I29" i="6" s="1"/>
  <c r="F28" i="6"/>
  <c r="I28" i="6" s="1"/>
  <c r="F27" i="6"/>
  <c r="I27" i="6" s="1"/>
  <c r="F26" i="6"/>
  <c r="F25" i="6"/>
  <c r="I25" i="6" s="1"/>
  <c r="F24" i="6"/>
  <c r="I24" i="6" s="1"/>
  <c r="F23" i="6"/>
  <c r="I23" i="6" s="1"/>
  <c r="F22" i="6"/>
  <c r="I22" i="6" s="1"/>
  <c r="F21" i="6"/>
  <c r="I21" i="6" s="1"/>
  <c r="F20" i="6"/>
  <c r="I20" i="6" s="1"/>
  <c r="F19" i="6"/>
  <c r="I19" i="6" s="1"/>
  <c r="F18" i="6"/>
  <c r="I18" i="6" s="1"/>
  <c r="F17" i="6"/>
  <c r="I17" i="6" s="1"/>
  <c r="F16" i="6"/>
  <c r="I16" i="6" s="1"/>
  <c r="F15" i="6"/>
  <c r="I15" i="6" s="1"/>
  <c r="F14" i="6"/>
  <c r="F13" i="6"/>
  <c r="I13" i="6" s="1"/>
  <c r="F12" i="6"/>
  <c r="I12" i="6" s="1"/>
  <c r="F11" i="6"/>
  <c r="I11" i="6" s="1"/>
  <c r="C38" i="6"/>
  <c r="K51" i="11" s="1"/>
  <c r="K51" i="13" s="1"/>
  <c r="B38" i="6"/>
  <c r="J51" i="11" s="1"/>
  <c r="D38" i="6"/>
  <c r="L51" i="11" s="1"/>
  <c r="L51" i="13" s="1"/>
  <c r="F9" i="6"/>
  <c r="I9" i="6" s="1"/>
  <c r="F8" i="6"/>
  <c r="I8" i="6" s="1"/>
  <c r="E38" i="6"/>
  <c r="M51" i="11" s="1"/>
  <c r="M51" i="13" s="1"/>
  <c r="J51" i="13" l="1"/>
  <c r="N51" i="13" s="1"/>
  <c r="N51" i="11"/>
  <c r="J29" i="21"/>
  <c r="K26" i="21"/>
  <c r="M19" i="21"/>
  <c r="L28" i="21"/>
  <c r="L19" i="21"/>
  <c r="M30" i="21"/>
  <c r="J15" i="21"/>
  <c r="J32" i="21"/>
  <c r="L30" i="21"/>
  <c r="M27" i="21"/>
  <c r="K25" i="21"/>
  <c r="M18" i="21"/>
  <c r="K16" i="21"/>
  <c r="M28" i="21"/>
  <c r="K31" i="21"/>
  <c r="M16" i="21"/>
  <c r="J31" i="21"/>
  <c r="L25" i="21"/>
  <c r="K19" i="21"/>
  <c r="J24" i="21"/>
  <c r="J25" i="21"/>
  <c r="M32" i="21"/>
  <c r="L27" i="21"/>
  <c r="M24" i="21"/>
  <c r="L18" i="21"/>
  <c r="J26" i="21"/>
  <c r="L32" i="21"/>
  <c r="K27" i="21"/>
  <c r="M20" i="21"/>
  <c r="L15" i="21"/>
  <c r="J27" i="21"/>
  <c r="K32" i="21"/>
  <c r="L29" i="21"/>
  <c r="M26" i="21"/>
  <c r="K24" i="21"/>
  <c r="L20" i="21"/>
  <c r="M17" i="21"/>
  <c r="K15" i="21"/>
  <c r="J20" i="21"/>
  <c r="L31" i="21"/>
  <c r="L23" i="21"/>
  <c r="K17" i="21"/>
  <c r="J30" i="21"/>
  <c r="M25" i="21"/>
  <c r="K23" i="21"/>
  <c r="J23" i="21"/>
  <c r="K28" i="21"/>
  <c r="L16" i="21"/>
  <c r="J16" i="21"/>
  <c r="K30" i="21"/>
  <c r="M15" i="21"/>
  <c r="J17" i="21"/>
  <c r="M29" i="21"/>
  <c r="L24" i="21"/>
  <c r="K18" i="21"/>
  <c r="J18" i="21"/>
  <c r="J19" i="21"/>
  <c r="J28" i="21"/>
  <c r="M31" i="21"/>
  <c r="K29" i="21"/>
  <c r="L26" i="21"/>
  <c r="M23" i="21"/>
  <c r="K20" i="21"/>
  <c r="L17" i="21"/>
  <c r="F23" i="7"/>
  <c r="I23" i="7" s="1"/>
  <c r="F18" i="7"/>
  <c r="I18" i="7" s="1"/>
  <c r="E26" i="7"/>
  <c r="F21" i="7"/>
  <c r="I21" i="7" s="1"/>
  <c r="F19" i="7"/>
  <c r="I19" i="7" s="1"/>
  <c r="D26" i="7"/>
  <c r="F22" i="7"/>
  <c r="I22" i="7" s="1"/>
  <c r="F20" i="7"/>
  <c r="I20" i="7" s="1"/>
  <c r="C26" i="7"/>
  <c r="F24" i="7"/>
  <c r="I24" i="7" s="1"/>
  <c r="F14" i="7"/>
  <c r="I14" i="7" s="1"/>
  <c r="B26" i="7"/>
  <c r="F16" i="7"/>
  <c r="I16" i="7" s="1"/>
  <c r="F9" i="7"/>
  <c r="I9" i="7" s="1"/>
  <c r="F17" i="7"/>
  <c r="I17" i="7" s="1"/>
  <c r="F13" i="7"/>
  <c r="I13" i="7" s="1"/>
  <c r="F10" i="7"/>
  <c r="I10" i="7" s="1"/>
  <c r="F8" i="7"/>
  <c r="F15" i="7"/>
  <c r="I15" i="7" s="1"/>
  <c r="F12" i="7"/>
  <c r="I12" i="7" s="1"/>
  <c r="F11" i="7"/>
  <c r="I11" i="7" s="1"/>
  <c r="F10" i="6"/>
  <c r="I10" i="6" s="1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I26" i="5" s="1"/>
  <c r="F27" i="5"/>
  <c r="I27" i="5" s="1"/>
  <c r="F28" i="5"/>
  <c r="I28" i="5" s="1"/>
  <c r="F29" i="5"/>
  <c r="I29" i="5" s="1"/>
  <c r="F30" i="5"/>
  <c r="I30" i="5" s="1"/>
  <c r="F31" i="5"/>
  <c r="I31" i="5" s="1"/>
  <c r="F32" i="5"/>
  <c r="I32" i="5" s="1"/>
  <c r="F33" i="5"/>
  <c r="I33" i="5" s="1"/>
  <c r="F34" i="5"/>
  <c r="I34" i="5" s="1"/>
  <c r="F8" i="5"/>
  <c r="N27" i="21" l="1"/>
  <c r="Q51" i="11"/>
  <c r="T51" i="11" s="1"/>
  <c r="R51" i="11"/>
  <c r="Q51" i="13"/>
  <c r="T51" i="13" s="1"/>
  <c r="R51" i="13"/>
  <c r="N30" i="21"/>
  <c r="R30" i="21" s="1"/>
  <c r="M35" i="21"/>
  <c r="N16" i="21"/>
  <c r="Q16" i="21" s="1"/>
  <c r="N20" i="21"/>
  <c r="N32" i="21"/>
  <c r="Q32" i="21" s="1"/>
  <c r="K35" i="21"/>
  <c r="N19" i="21"/>
  <c r="N25" i="21"/>
  <c r="Q25" i="21" s="1"/>
  <c r="N31" i="21"/>
  <c r="N28" i="21"/>
  <c r="L35" i="21"/>
  <c r="N23" i="21"/>
  <c r="Q23" i="21" s="1"/>
  <c r="N26" i="21"/>
  <c r="N15" i="21"/>
  <c r="J35" i="21"/>
  <c r="N18" i="21"/>
  <c r="Q18" i="21" s="1"/>
  <c r="N17" i="21"/>
  <c r="Q17" i="21" s="1"/>
  <c r="N24" i="21"/>
  <c r="Q24" i="21" s="1"/>
  <c r="N29" i="21"/>
  <c r="I8" i="7"/>
  <c r="F26" i="7"/>
  <c r="I26" i="7" s="1"/>
  <c r="F38" i="6"/>
  <c r="I38" i="6" s="1"/>
  <c r="I23" i="5"/>
  <c r="I19" i="5"/>
  <c r="I15" i="5"/>
  <c r="I11" i="5"/>
  <c r="E37" i="5"/>
  <c r="D37" i="5"/>
  <c r="Q30" i="21" l="1"/>
  <c r="T30" i="21" s="1"/>
  <c r="N35" i="21"/>
  <c r="R35" i="21" s="1"/>
  <c r="Q20" i="21"/>
  <c r="T20" i="21" s="1"/>
  <c r="R20" i="21"/>
  <c r="R28" i="21"/>
  <c r="Q28" i="21"/>
  <c r="T28" i="21" s="1"/>
  <c r="Q19" i="21"/>
  <c r="T19" i="21" s="1"/>
  <c r="R19" i="21"/>
  <c r="R15" i="21"/>
  <c r="Q15" i="21"/>
  <c r="T15" i="21" s="1"/>
  <c r="R29" i="21"/>
  <c r="Q29" i="21"/>
  <c r="T29" i="21" s="1"/>
  <c r="R26" i="21"/>
  <c r="Q26" i="21"/>
  <c r="T26" i="21" s="1"/>
  <c r="Q31" i="21"/>
  <c r="T31" i="21" s="1"/>
  <c r="R31" i="21"/>
  <c r="I10" i="5"/>
  <c r="I21" i="5"/>
  <c r="I17" i="5"/>
  <c r="I22" i="5"/>
  <c r="I9" i="5"/>
  <c r="I13" i="5"/>
  <c r="I8" i="5"/>
  <c r="I12" i="5"/>
  <c r="I16" i="5"/>
  <c r="I20" i="5"/>
  <c r="I24" i="5"/>
  <c r="I18" i="5"/>
  <c r="I25" i="5"/>
  <c r="C37" i="5"/>
  <c r="Q35" i="21" l="1"/>
  <c r="F37" i="5"/>
  <c r="I37" i="5" l="1"/>
  <c r="B28" i="3"/>
  <c r="E28" i="3"/>
  <c r="G30" i="3"/>
  <c r="G23" i="3"/>
  <c r="B40" i="3"/>
  <c r="G40" i="3" s="1"/>
  <c r="B39" i="3"/>
  <c r="G39" i="3" s="1"/>
  <c r="B38" i="3"/>
  <c r="G38" i="3" s="1"/>
  <c r="B37" i="3"/>
  <c r="G37" i="3" s="1"/>
  <c r="B36" i="3"/>
  <c r="G36" i="3" s="1"/>
  <c r="B35" i="3"/>
  <c r="G35" i="3" s="1"/>
  <c r="B34" i="3"/>
  <c r="G34" i="3" s="1"/>
  <c r="B33" i="3"/>
  <c r="G33" i="3" s="1"/>
  <c r="B32" i="3"/>
  <c r="G32" i="3" s="1"/>
  <c r="B31" i="3"/>
  <c r="G31" i="3" s="1"/>
  <c r="B30" i="3"/>
  <c r="B29" i="3"/>
  <c r="G29" i="3" s="1"/>
  <c r="B27" i="3"/>
  <c r="G27" i="3" s="1"/>
  <c r="B26" i="3"/>
  <c r="G26" i="3" s="1"/>
  <c r="B25" i="3"/>
  <c r="G25" i="3" s="1"/>
  <c r="B24" i="3"/>
  <c r="G24" i="3" s="1"/>
  <c r="B15" i="3"/>
  <c r="G15" i="3" s="1"/>
  <c r="B17" i="3"/>
  <c r="G17" i="3" s="1"/>
  <c r="B19" i="3"/>
  <c r="G19" i="3" s="1"/>
  <c r="E13" i="3"/>
  <c r="D13" i="3"/>
  <c r="B13" i="3"/>
  <c r="G13" i="3" s="1"/>
  <c r="G28" i="3" l="1"/>
  <c r="E11" i="3"/>
  <c r="E10" i="3" s="1"/>
  <c r="D11" i="3"/>
  <c r="D10" i="3" s="1"/>
  <c r="B11" i="3"/>
  <c r="M40" i="3"/>
  <c r="M39" i="3"/>
  <c r="N39" i="3" s="1"/>
  <c r="M38" i="3"/>
  <c r="N38" i="3" s="1"/>
  <c r="M37" i="3"/>
  <c r="M36" i="3"/>
  <c r="M35" i="3"/>
  <c r="N35" i="3" s="1"/>
  <c r="M34" i="3"/>
  <c r="M33" i="3"/>
  <c r="M32" i="3"/>
  <c r="M31" i="3"/>
  <c r="M30" i="3"/>
  <c r="M29" i="3"/>
  <c r="M28" i="3"/>
  <c r="M27" i="3"/>
  <c r="M26" i="3"/>
  <c r="M25" i="3"/>
  <c r="B22" i="3"/>
  <c r="M24" i="3"/>
  <c r="M23" i="3"/>
  <c r="L22" i="3"/>
  <c r="K22" i="3"/>
  <c r="J22" i="3"/>
  <c r="I22" i="3"/>
  <c r="H22" i="3"/>
  <c r="F22" i="3"/>
  <c r="D22" i="3"/>
  <c r="C22" i="3"/>
  <c r="M19" i="3"/>
  <c r="M17" i="3"/>
  <c r="M15" i="3"/>
  <c r="M13" i="3"/>
  <c r="M11" i="3"/>
  <c r="L10" i="3"/>
  <c r="K10" i="3"/>
  <c r="K41" i="3" s="1"/>
  <c r="J10" i="3"/>
  <c r="I10" i="3"/>
  <c r="H10" i="3"/>
  <c r="F10" i="3"/>
  <c r="C10" i="3"/>
  <c r="B10" i="3"/>
  <c r="L41" i="3" l="1"/>
  <c r="G11" i="3"/>
  <c r="N36" i="3"/>
  <c r="N34" i="3"/>
  <c r="N32" i="3"/>
  <c r="N30" i="3"/>
  <c r="N28" i="3"/>
  <c r="N27" i="3"/>
  <c r="D41" i="3"/>
  <c r="M22" i="3"/>
  <c r="O23" i="3" s="1"/>
  <c r="J41" i="3"/>
  <c r="I41" i="3"/>
  <c r="F41" i="3"/>
  <c r="C41" i="3"/>
  <c r="N15" i="3"/>
  <c r="N17" i="3"/>
  <c r="N13" i="3"/>
  <c r="H41" i="3"/>
  <c r="O21" i="3"/>
  <c r="O20" i="3" s="1"/>
  <c r="N29" i="3"/>
  <c r="O29" i="3" s="1"/>
  <c r="N37" i="3"/>
  <c r="N40" i="3"/>
  <c r="N24" i="3"/>
  <c r="N31" i="3"/>
  <c r="N33" i="3"/>
  <c r="O10" i="3"/>
  <c r="N19" i="3"/>
  <c r="B41" i="3"/>
  <c r="N23" i="3"/>
  <c r="N25" i="3"/>
  <c r="M10" i="3"/>
  <c r="E22" i="3"/>
  <c r="E41" i="3" s="1"/>
  <c r="M41" i="3" l="1"/>
  <c r="G41" i="3"/>
  <c r="G10" i="3"/>
  <c r="N11" i="3"/>
  <c r="N10" i="3" l="1"/>
  <c r="N41" i="3"/>
  <c r="E27" i="1" l="1"/>
  <c r="E49" i="1" s="1"/>
  <c r="D15" i="1"/>
  <c r="C15" i="1"/>
  <c r="B15" i="1"/>
  <c r="E14" i="1"/>
  <c r="E13" i="1"/>
  <c r="E12" i="1"/>
  <c r="E11" i="1"/>
  <c r="E10" i="1"/>
  <c r="E9" i="1"/>
  <c r="E8" i="1"/>
  <c r="E7" i="1"/>
  <c r="E15" i="1" l="1"/>
  <c r="G22" i="3"/>
  <c r="O26" i="3" s="1"/>
  <c r="N26" i="3"/>
  <c r="O24" i="3" s="1"/>
  <c r="N22" i="3" l="1"/>
  <c r="O22" i="3" s="1"/>
</calcChain>
</file>

<file path=xl/sharedStrings.xml><?xml version="1.0" encoding="utf-8"?>
<sst xmlns="http://schemas.openxmlformats.org/spreadsheetml/2006/main" count="1362" uniqueCount="393">
  <si>
    <t>รายงานการคำนวณต้นทุนผลผลิต</t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</si>
  <si>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</si>
  <si>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</si>
  <si>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</si>
  <si>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</si>
  <si>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</si>
  <si>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กรมพัฒนาฝีมือแรงงาน</t>
  </si>
  <si>
    <r>
      <t>ตารางที่ 1</t>
    </r>
    <r>
      <rPr>
        <b/>
        <sz val="18"/>
        <rFont val="TH SarabunPSK"/>
        <family val="2"/>
      </rPr>
      <t xml:space="preserve"> รายงานต้นทุนรวม โดยแยกประเภทตามแหล่งเงิน </t>
    </r>
  </si>
  <si>
    <t>(หน่วย : บาท)</t>
  </si>
  <si>
    <t>1. ค่าใช้จ่ายบุคลากร</t>
  </si>
  <si>
    <t>2. ค่าใช้จ่ายด้านการฝึกอบรม</t>
  </si>
  <si>
    <t xml:space="preserve">3. ค่าใช้จ่ายเดินทาง </t>
  </si>
  <si>
    <t>4. ค่าตอบแทน ใช้สอยวัสดุ และสาธารณูปโภค</t>
  </si>
  <si>
    <t>5. ค่าเสื่อมราคา</t>
  </si>
  <si>
    <t>6. ค่าใช้จ่ายเงินอุดหนุน</t>
  </si>
  <si>
    <t>7. ค่าจำหน่ายครุภัณฑ์</t>
  </si>
  <si>
    <t>8. ค่าใช้จ่ายอื่นๆ</t>
  </si>
  <si>
    <t>รวมต้นทุนผลผลิต</t>
  </si>
  <si>
    <t xml:space="preserve">หมายเหตุ : </t>
  </si>
  <si>
    <t xml:space="preserve">        ค่าใช้จ่ายในระบบ  GFMIS</t>
  </si>
  <si>
    <t xml:space="preserve">       - บำนาญปกติ</t>
  </si>
  <si>
    <t xml:space="preserve">       - บำนาญพิเศษ</t>
  </si>
  <si>
    <t xml:space="preserve">       - เงินช่วยเหลือรายเดือนผู้รับเบี้ยหวัดบำนาญ</t>
  </si>
  <si>
    <t xml:space="preserve">       - เงินช่วยค่าครองชีพผู้รับเบี้ยหวัดบำนาญ</t>
  </si>
  <si>
    <t xml:space="preserve">       - เงินบำเหน็จ</t>
  </si>
  <si>
    <t xml:space="preserve">       - เงินบำเหน็จตกทอด</t>
  </si>
  <si>
    <t xml:space="preserve">       - เงินบำเหน็จดำรงชีพ</t>
  </si>
  <si>
    <t xml:space="preserve">       - เงินช่วยพิเศษกรณีผู้รับบำนาญตาย</t>
  </si>
  <si>
    <t xml:space="preserve">       - บำเหน็จรายเดือนสำหรับการเบิกเงินบำเหน็จลูกจ้าง</t>
  </si>
  <si>
    <t xml:space="preserve">       - เงินช่วยการศึกษาบุตร</t>
  </si>
  <si>
    <t xml:space="preserve">       - ค่ารักษาพยาบาลผู้ป่วยนอก-รพ.รัฐ-เบี้ยหวัด/บำนาญ</t>
  </si>
  <si>
    <t xml:space="preserve">       - ค่ารักษาพยาบาลผู้ป่วยใน-รพ.รัฐ-เบี้ยหวัด/บำนาญ</t>
  </si>
  <si>
    <t xml:space="preserve">       - ค่ารักษาพยาบาลผู้ป่วยนอก-รพ.เอกชน-เบี้ยหวัด/บำนาญ</t>
  </si>
  <si>
    <t xml:space="preserve">       - ค่ารักษาพยาบาลผู้ป่วยใน-รพ.เอกชน-เบี้ยหวัด/บำนาญ</t>
  </si>
  <si>
    <t xml:space="preserve">       - TE-หน่วยงานส่งเงินเบิกเกินส่งคืนให้กรมบัญชีกลาง</t>
  </si>
  <si>
    <t xml:space="preserve">       - TE-หน่วยงานโอนเงินนอกงบประมาณให้กรมบัญชีกลาง</t>
  </si>
  <si>
    <t xml:space="preserve">       - TE-หน่วยงานโอนเงินรายได้แผ่นดินให้กรมบัญชีกลาง</t>
  </si>
  <si>
    <t xml:space="preserve">       - TE-ปรับเงินฝากคลัง</t>
  </si>
  <si>
    <t xml:space="preserve">       - TE-ภายในกรมเดียวกัน</t>
  </si>
  <si>
    <t>ประจำปีงบประมาณ พ.ศ. 2561</t>
  </si>
  <si>
    <t xml:space="preserve">       - เบี้ยหวัด</t>
  </si>
  <si>
    <t xml:space="preserve">       - TE-รายได้แผ่นดินนำส่งคลัง</t>
  </si>
  <si>
    <t>หน่วย : บาท</t>
  </si>
  <si>
    <t>ค่าใช้จ่ายทางตรง</t>
  </si>
  <si>
    <t>ค่าใช้จ่ายทางอ้อม</t>
  </si>
  <si>
    <t>รวม (ค่าใช้จ่ายทางตรง+ค่าใช้จ่ายทางอ้อม)</t>
  </si>
  <si>
    <t>ศูนย์ต้นทุน</t>
  </si>
  <si>
    <t xml:space="preserve"> ค่าตอบแทน ใช้สอย</t>
  </si>
  <si>
    <t xml:space="preserve"> ค่าเสื่อมราคา</t>
  </si>
  <si>
    <t>ค่าใช้จ่ายอื่น</t>
  </si>
  <si>
    <t>ค่าใช้จ่ายอุดหนุน</t>
  </si>
  <si>
    <t xml:space="preserve"> ค่าใช้จ่ายบุคลากร</t>
  </si>
  <si>
    <t>รวมค่าใช้จ่ายทางตรง</t>
  </si>
  <si>
    <t>รวมค่าใช้จ่ายทางอ้อม</t>
  </si>
  <si>
    <t xml:space="preserve">  วัสดุและ</t>
  </si>
  <si>
    <t>และตัดจำหน่าย</t>
  </si>
  <si>
    <t xml:space="preserve">ค่าสาธารณูปโภค </t>
  </si>
  <si>
    <t>ศูนย์ต้นทุนหลัก</t>
  </si>
  <si>
    <t>1.  สถาบันพัฒนาฝีมือ</t>
  </si>
  <si>
    <t xml:space="preserve">    แรงงานภาค  25  แห่ง</t>
  </si>
  <si>
    <t xml:space="preserve">    จังหวัด  52  แห่ง</t>
  </si>
  <si>
    <t>3.  สถาบันพัฒนาฝีมือ</t>
  </si>
  <si>
    <t xml:space="preserve">    แรงงานนานาชาติ</t>
  </si>
  <si>
    <t>4.  สถาบันพัฒนาบุคลากรในอุตสาหกรรม</t>
  </si>
  <si>
    <t xml:space="preserve">    ยานยนต์และชิ้นส่วนอะไหล่ยานยนต์</t>
  </si>
  <si>
    <t xml:space="preserve">    อุตสาหกรรมบริการสุขภาพ</t>
  </si>
  <si>
    <t>ศูนย์ต้นทุนสนับสนุน</t>
  </si>
  <si>
    <t>1.  สำนักอธิบดี</t>
  </si>
  <si>
    <t>2.  สำนักงานผู้ตรวจราชการกรม</t>
  </si>
  <si>
    <t>3.  สำนักงานเลขานุการกรม</t>
  </si>
  <si>
    <t>4.  กองแผนงานฯ</t>
  </si>
  <si>
    <t>5.  กองพัฒนาศักยภาพฯ</t>
  </si>
  <si>
    <t>6.  สำนักพัฒนามาตรฐานฯ</t>
  </si>
  <si>
    <t>7.  สำนักพัฒนาผู้ฝึกฯ</t>
  </si>
  <si>
    <t>10.  กลุ่มกฏหมาย</t>
  </si>
  <si>
    <t>11.  กองยุทธศาสตร์และเครือข่ายฯ</t>
  </si>
  <si>
    <t>16.  ศูนย์ข้อมูลเทคโนโลยีสารสนเทศ</t>
  </si>
  <si>
    <t>5.  สถาบันพัฒนาทรัพยากรมนุษย์สำหรับ</t>
  </si>
  <si>
    <t>12.  กองส่งเสริมการพัฒนาฝีมือฯ</t>
  </si>
  <si>
    <t>13. กลุ่มพัฒนาระบบบริหาร</t>
  </si>
  <si>
    <t>14.  กลุ่มตรวจสอบภายใน</t>
  </si>
  <si>
    <t>15.  กองวิเทศสัมพันธ์</t>
  </si>
  <si>
    <t>17. สนง.รับรองความรู้ความสามารถ</t>
  </si>
  <si>
    <t>18.  กองสื่อสารองค์กร</t>
  </si>
  <si>
    <t>-</t>
  </si>
  <si>
    <t xml:space="preserve">ค่าใช้จ่ายเดินทาง </t>
  </si>
  <si>
    <t>และค่าใช้จ่ายอบรม</t>
  </si>
  <si>
    <t>ค่าใช้จ่ายอื่นและค่าใช้จ่ายอุดหนุน</t>
  </si>
  <si>
    <r>
      <t xml:space="preserve">ตารางที่ 3 </t>
    </r>
    <r>
      <rPr>
        <b/>
        <sz val="18"/>
        <rFont val="TH SarabunPSK"/>
        <family val="2"/>
      </rPr>
      <t xml:space="preserve">รายงานต้นทุนกิจกรรมย่อยแยกตามแหล่งเงิน  </t>
    </r>
  </si>
  <si>
    <t>กิจกรรมย่อย</t>
  </si>
  <si>
    <t>เงินใน</t>
  </si>
  <si>
    <t>เงินนอก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</si>
  <si>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</si>
  <si>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</si>
  <si>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</si>
  <si>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</si>
  <si>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</si>
  <si>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งบประมาณ</t>
  </si>
  <si>
    <t>กิจกรรมย่อยของหน่วยงานหลัก</t>
  </si>
  <si>
    <t>แห่ง</t>
  </si>
  <si>
    <t>คน</t>
  </si>
  <si>
    <t>หลักสูตร</t>
  </si>
  <si>
    <t>สาขา</t>
  </si>
  <si>
    <t>กิจกรรมย่อยของหน่วยงานสนับสนุน</t>
  </si>
  <si>
    <t>เรื่อง</t>
  </si>
  <si>
    <t>ครั้ง</t>
  </si>
  <si>
    <t>ด้าน</t>
  </si>
  <si>
    <t>ระบบ</t>
  </si>
  <si>
    <t>โครงการ</t>
  </si>
  <si>
    <t>จำนวนเอกสารรายการ</t>
  </si>
  <si>
    <t>จำนวนบุคลากร</t>
  </si>
  <si>
    <t>หน่วยงาน</t>
  </si>
  <si>
    <t>จำนวนเครื่องคอมพิวเตอร์</t>
  </si>
  <si>
    <t xml:space="preserve"> (Competency Based Curriculum)</t>
  </si>
  <si>
    <t>10. วิจัยเพื่อขับเคลื่อนผลิตภาพแรงงานสู่ Thailand 4.0</t>
  </si>
  <si>
    <t>11. ควบคุมและกำกับดูแลการประกอบอาชีพที่อาจเป็นอันตรายต่อสาธารณะหรือต้องใช้ความรู้ความสามารถสู่ Safety At Work</t>
  </si>
  <si>
    <t>8.  กองบริหารการคลัง</t>
  </si>
  <si>
    <t>9.  กองบริหารทรัพยากรบุคคล</t>
  </si>
  <si>
    <t>2.  สำนักงานพัฒนาฝีมือแรงงาน</t>
  </si>
  <si>
    <t xml:space="preserve">7. จัดทำมาตรฐานฝีมือแรงงานแห่งชาติและวิธีการทดสอบมาตรฐานฝีมือเพื่อรองรับ Thailank 4.0                                   </t>
  </si>
  <si>
    <t xml:space="preserve">16. พัฒนาศักยภาพมาตรฐานฝีมือแรงงานไทยในต่างประเทศ  </t>
  </si>
  <si>
    <r>
      <t xml:space="preserve">ตารางที่ 4 </t>
    </r>
    <r>
      <rPr>
        <b/>
        <sz val="18"/>
        <rFont val="TH SarabunPSK"/>
        <family val="2"/>
      </rPr>
      <t>รายงานต้นทุนผลผลิตย่อยแยกตามแหล่งเงิน</t>
    </r>
  </si>
  <si>
    <t>ผลผลิตย่อย</t>
  </si>
  <si>
    <t>อุตสาหกรรม</t>
  </si>
  <si>
    <t>ประจำปีงบประมาณ พ.ศ. 2560</t>
  </si>
  <si>
    <r>
      <t xml:space="preserve">ตารางที่ 5 </t>
    </r>
    <r>
      <rPr>
        <b/>
        <sz val="18"/>
        <rFont val="TH SarabunPSK"/>
        <family val="2"/>
      </rPr>
      <t>รายงานต้นทุนกิจกรรมหลักแยกตามแหล่งเงิน</t>
    </r>
  </si>
  <si>
    <t>กิจกรรมหลัก</t>
  </si>
  <si>
    <r>
      <t xml:space="preserve">ตารางที่ 6 </t>
    </r>
    <r>
      <rPr>
        <b/>
        <sz val="18"/>
        <rFont val="TH SarabunPSK"/>
        <family val="2"/>
      </rPr>
      <t>รายงานต้นทุนผลผลิตหลักแยกตามแหล่งเงิน</t>
    </r>
  </si>
  <si>
    <t>ผลผลิตหลัก/โครงการ</t>
  </si>
  <si>
    <t>1. โครงการอบรมฝีมือแรงงานในพั้นที่จังหวัดชายแดนภาคใต้</t>
  </si>
  <si>
    <t>2.โครงการเพิ่มศักยภาพแรงงานรองรรับ Thailand 4.0</t>
  </si>
  <si>
    <t>3.โครงการศูนย์ฝึกอบรมเทคโนโลยีชั้นสูงรองรับอุตสาหกรรมแห่งอนาคต</t>
  </si>
  <si>
    <t>4. โครงการบูรณาการจัดทำมาตรฐานฝีมือแรงงาน และพัฒนาหลักสูตรรองรับ Thailand 4.0</t>
  </si>
  <si>
    <t>5. โครงการเพิ่มผลิตภาพแรงงานสู่ SME 4.0 (STEM Workforce Towards SMA 4.0)</t>
  </si>
  <si>
    <t>7. โครงการวิจัยเพื่อขับเคลื่อนผลิตภาพแรงงานสู่ Thailand 4.0</t>
  </si>
  <si>
    <t>8. โครงการควบคุมและกำกับดูแลการประกอบอาชีพที่อาจเป็นอันตราย</t>
  </si>
  <si>
    <t>9. โครงการพัฒนาฝีมือให้แก่กลุ่มวิสาหกิจชุมขน และผู้มีรายได้น้อย</t>
  </si>
  <si>
    <t>10. โครงการยกระดับแรงงานไทยให้ได้มาตรฐานฝีมือแรงงานเพื่อรองรับการแข่งขัน</t>
  </si>
  <si>
    <t>11. โครงการพัฒนาฝีมือแรงงานนานาชาติเพื่อการพัฒนาความร่วมมือทางเศรษฐกิจในอนุภูมิภาคลุ่มน้ำโขงและเอเซียตะวันออกเฉียงใต้ (GMS-ASEAN)</t>
  </si>
  <si>
    <t>ตารางเปรียบเทียบผลการคำนวณต้นทุนผลผลิตระหว่างปีงบประมาณ พ.ศ. 2559 และปีงบประมาณ พ.ศ. 2560</t>
  </si>
  <si>
    <r>
      <t>ตารางที่ 7</t>
    </r>
    <r>
      <rPr>
        <b/>
        <sz val="18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</si>
  <si>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ต้นทุนผลผลิตประจำปีงบประมาณ พ.ศ. 2560 (ต.ค. 59-ก.ย. 60)</t>
  </si>
  <si>
    <t>ผลการเปรียบเทียบ</t>
  </si>
  <si>
    <t>ค่าเสื่อม</t>
  </si>
  <si>
    <t>ต้นทุน</t>
  </si>
  <si>
    <t>หน่วย</t>
  </si>
  <si>
    <t>งปม.</t>
  </si>
  <si>
    <t>ราคา</t>
  </si>
  <si>
    <t>นับ</t>
  </si>
  <si>
    <t>ต่อหน่วย</t>
  </si>
  <si>
    <t>เพิ่ม (ลด) %</t>
  </si>
  <si>
    <t>(1)</t>
  </si>
  <si>
    <t>(2)</t>
  </si>
  <si>
    <t>(3)</t>
  </si>
  <si>
    <t>(4)</t>
  </si>
  <si>
    <t>(5)</t>
  </si>
  <si>
    <t>(6) =(2) ถึง (5)</t>
  </si>
  <si>
    <t>(7)</t>
  </si>
  <si>
    <t>(8)</t>
  </si>
  <si>
    <t>(9) = (6)/(7)</t>
  </si>
  <si>
    <t>(10)</t>
  </si>
  <si>
    <t>(11)</t>
  </si>
  <si>
    <t>(12)</t>
  </si>
  <si>
    <t>(13)</t>
  </si>
  <si>
    <t>(14)</t>
  </si>
  <si>
    <t>(15)</t>
  </si>
  <si>
    <t>(16)</t>
  </si>
  <si>
    <t>(17) = (14)/(15)</t>
  </si>
  <si>
    <t>(18) = (14)-(6)</t>
  </si>
  <si>
    <t>(19) = (15)-(7)</t>
  </si>
  <si>
    <t>(20) = (17)-(9)</t>
  </si>
  <si>
    <t>*100/(6)</t>
  </si>
  <si>
    <t>*100/(7)</t>
  </si>
  <si>
    <t>*100/(9)</t>
  </si>
  <si>
    <t>กิโลเมตร</t>
  </si>
  <si>
    <t>จำนวนครั้งของการจัดซื้อจัดจ้าง</t>
  </si>
  <si>
    <t>จำนวนเงินงบประมาณที่ได้รับจัดสรร</t>
  </si>
  <si>
    <t>ตารางเปรียบเทียบผลการคำนวณต้นทุนผลผลิตระหว่างปีงบประมาณ พ.ศ. 2560 และปีงบประมาณ พ.ศ. 2561</t>
  </si>
  <si>
    <t>จำนวนหนังสือเข้า-ออก (เรื่อง)</t>
  </si>
  <si>
    <t>ต้นทุนผลผลิตประจำปีงบประมาณ พ.ศ. 2561 (ต.ค. 60-ก.ย. 61)</t>
  </si>
  <si>
    <t>งาน/คน/วัน</t>
  </si>
  <si>
    <r>
      <t>ตารางที่ 8</t>
    </r>
    <r>
      <rPr>
        <b/>
        <sz val="18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</si>
  <si>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เพิ่ม (ลด)</t>
  </si>
  <si>
    <t>%</t>
  </si>
  <si>
    <t>(14) =(10) ถึง (13)</t>
  </si>
  <si>
    <t>จัดจ้าง</t>
  </si>
  <si>
    <t>ฝึกอบรม</t>
  </si>
  <si>
    <t>ได้รับจัดสรร</t>
  </si>
  <si>
    <t>2. ตรวจติดตามและให้คำแนะนำการปฏิบัติราชการ</t>
  </si>
  <si>
    <t>1. บริหารให้หน่วยงานปฏิบัติตามนโยบาย</t>
  </si>
  <si>
    <t>3. ด้านงานสารบรรณ</t>
  </si>
  <si>
    <t>4. ด้านยานพาหนะ</t>
  </si>
  <si>
    <t>5. ด้านงานช่วยอำนวยการ</t>
  </si>
  <si>
    <t>6. ด้านอาคารและสถานที่</t>
  </si>
  <si>
    <t>7. ด้านสุขภาพและความปลอดภัยในการทำงาน</t>
  </si>
  <si>
    <t>8. งานห้องสมุด</t>
  </si>
  <si>
    <t>9. ด้านแผนงานและประเมินผล</t>
  </si>
  <si>
    <t xml:space="preserve">2. ฝึกอบรมฝีมือให้กับกลุ่มเป้าหมายตามโครงการพาคนกลับบ้าน </t>
  </si>
  <si>
    <t xml:space="preserve">3. เพิ่มศักยภาพกำลังแรงงานภาคอุตสาหกรรมและบริการไปสู่ Thailand 4.0   </t>
  </si>
  <si>
    <t xml:space="preserve">4. เพิ่มศักยภาพแรงงานเตรียมเข้าสู่อุตสาหกรรมเป้าหมายแห่งอนาคต   </t>
  </si>
  <si>
    <t xml:space="preserve">5. ศูนย์ฝึกอบรมเทคโนโลยีชั้นสูงรองรับอุตสาหกรรมแห่งอนาคต   </t>
  </si>
  <si>
    <t xml:space="preserve">6. พัฒนาหลักสูตรยกระดับฝีมือตามความสามารถ   </t>
  </si>
  <si>
    <t xml:space="preserve">8. เพิ่มผลิตภาพแรงงานสู่ SME 4.0   </t>
  </si>
  <si>
    <t xml:space="preserve">9. เพิ่มทักษะกำลังแรงงานในพื้นที่ 10 จังหวัด ในพื้นที่เขตพัฒนาเศรษฐกิจพิเศษ  </t>
  </si>
  <si>
    <t xml:space="preserve">12. พัฒนาฝีมือให้แก่กลุ่มวิสาหกิจชุมชน และผู้มีรายได้น้อย  </t>
  </si>
  <si>
    <t xml:space="preserve">13. ทดสอบมาตรฐานฝีมือแรงงานให้มีสมรรถนะ  </t>
  </si>
  <si>
    <t xml:space="preserve">14. ส่งเสริมมาตรฐานฝีมือแรงงานแห่งชาติ  </t>
  </si>
  <si>
    <t xml:space="preserve">15. พัฒนาศักยภาพแรงงานเพื่อรองรับการจ่ายค่าจ้างตามมาตรฐานฝีมือ  </t>
  </si>
  <si>
    <t xml:space="preserve">17. พัฒนาฝีมือแรงงานนานาชาติ    </t>
  </si>
  <si>
    <t xml:space="preserve">18.พัฒนาและยกระดับผลิตภาพแรงงาน  </t>
  </si>
  <si>
    <t>รายการ</t>
  </si>
  <si>
    <r>
      <t>ตารางที่ 9</t>
    </r>
    <r>
      <rPr>
        <b/>
        <sz val="18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</si>
  <si>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r>
      <t>ตารางที่ 10</t>
    </r>
    <r>
      <rPr>
        <b/>
        <sz val="18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</si>
  <si>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r>
      <t>ตารางที่ 10</t>
    </r>
    <r>
      <rPr>
        <b/>
        <sz val="18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</si>
  <si>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วิเคราะห์สาเหตุของการเปลี่ยนแปลงของต้นทุนกิจกรรมหลักแยกตามแหล่งเงิน</t>
  </si>
  <si>
    <r>
      <t>ตารางที่ 11</t>
    </r>
    <r>
      <rPr>
        <b/>
        <sz val="16"/>
        <rFont val="TH SarabunPSK"/>
        <family val="2"/>
      </rPr>
      <t xml:space="preserve">  รายงานเปรียบเทียบต้นทุนทางตรงตามศูนย์ต้นทุนแยกตามประเภทค่าใช้จ่าย  ลักษณะของต้นทุน (คงที่/ผันแปร)</t>
    </r>
  </si>
  <si>
    <t>ค่าใช้จ่ายทางตรงปีงบประมาณ  พ.ศ. 2560</t>
  </si>
  <si>
    <t>ต้นทุนคงที่</t>
  </si>
  <si>
    <t>ต้นทุนผันแปร</t>
  </si>
  <si>
    <t xml:space="preserve"> ค่าตอบแทน</t>
  </si>
  <si>
    <t>ค่าใช้จ่ายอื่น ๆ</t>
  </si>
  <si>
    <t>ค่าสาธารณูปโภค</t>
  </si>
  <si>
    <t>คงที่เพิ่ม/</t>
  </si>
  <si>
    <t>ผันแปร</t>
  </si>
  <si>
    <t>รวมเพิ่ม/</t>
  </si>
  <si>
    <t xml:space="preserve"> ใช้สอยและวัสดุ </t>
  </si>
  <si>
    <t>(อื่น ๆ)</t>
  </si>
  <si>
    <t>และค่าตัด</t>
  </si>
  <si>
    <t>(ค่าล่วงเวลา)</t>
  </si>
  <si>
    <t>(เงินอุดหนุนฯ)</t>
  </si>
  <si>
    <t>(ลด)%</t>
  </si>
  <si>
    <t>เพิ่ม/</t>
  </si>
  <si>
    <t>จำหน่าย</t>
  </si>
  <si>
    <t>(คชจ.อบรม  เดินทาง</t>
  </si>
  <si>
    <t>ค่าวัสดุ  เชื้อเพลิง)</t>
  </si>
  <si>
    <t>(5) =(1)+(2)</t>
  </si>
  <si>
    <t>(6)</t>
  </si>
  <si>
    <t>(9)</t>
  </si>
  <si>
    <t>(10) = (6)+(7)</t>
  </si>
  <si>
    <t>(11) = (5)+(10)</t>
  </si>
  <si>
    <t>(16) =(12)+(13)</t>
  </si>
  <si>
    <t>(17)</t>
  </si>
  <si>
    <t>(18)</t>
  </si>
  <si>
    <t>(19)</t>
  </si>
  <si>
    <t>(20)</t>
  </si>
  <si>
    <t>(21) = (17)+(18)</t>
  </si>
  <si>
    <t>(22) = (16)+(21)</t>
  </si>
  <si>
    <t>(23)=(16)-(5)</t>
  </si>
  <si>
    <t>(24)=(21)-(10)</t>
  </si>
  <si>
    <t>(25)=(22)-(11)</t>
  </si>
  <si>
    <t>+(3)+(4)</t>
  </si>
  <si>
    <t>+(8)+(9)</t>
  </si>
  <si>
    <t>+(14)+(15)</t>
  </si>
  <si>
    <t>+(19)+(20)</t>
  </si>
  <si>
    <t>x100/(5)</t>
  </si>
  <si>
    <t>x100/(10)</t>
  </si>
  <si>
    <t>x100/(11)</t>
  </si>
  <si>
    <t>1.  สถาบันพัฒนาฝีมือแรงงานภาค 25  แห่ง</t>
  </si>
  <si>
    <t>2.  สำนักงานพัฒนาฝีมือแรงงานจังหวัด  52  แห่ง</t>
  </si>
  <si>
    <t>3.  สถาบันพัฒนาฝีมือ แรงงานนานาชาติ</t>
  </si>
  <si>
    <t>4.  สถาบันพัฒนาบุคลากรในอุตสาหกรรมยานยนต์และชิ้นส่วนอะไหล่ยานยนต์</t>
  </si>
  <si>
    <t>7.  สถาบันพัฒนาทรัพยากรมนุษย์สำหรับ อุตสาหกรรมบริการสุขภาพ</t>
  </si>
  <si>
    <t>4.  กองแผนและสารสนเทศ</t>
  </si>
  <si>
    <t>12.  กลุ่มพัฒนาระบบบริหาร</t>
  </si>
  <si>
    <t>13.  กลุ่มตรวจสอบภายใน</t>
  </si>
  <si>
    <t>14.  กองวิเทศสัมพันธ์</t>
  </si>
  <si>
    <t>15.  ศูนย์ข้อมูลเทคโนโลยีสารสนเทศ</t>
  </si>
  <si>
    <t>16.  สำนักงานรับรองฯ</t>
  </si>
  <si>
    <t>17.  กองสื่อสารองค์กร</t>
  </si>
  <si>
    <t>รายงานเปรียบเทียบผลการคำนวณต้นทุนผลผลิตระหว่างปีงบประมาณ พ.ศ. 2560  และ ปีงบประมาณ พ.ศ 2561</t>
  </si>
  <si>
    <t>ค่าใช้จ่ายทางตรงปีงบประมาณ  พ.ศ. 2561</t>
  </si>
  <si>
    <t>12.  กองส่งเสริมการพัฒนาฯ</t>
  </si>
  <si>
    <t>5.  สถาบันพัฒนาทรัพยากรมนุษย์สำหรับ อุตสาหกรรมบริการสุขภาพ</t>
  </si>
  <si>
    <t>13.  กลุ่มพัฒนาระบบบริหาร</t>
  </si>
  <si>
    <t>17.  สำนักงานรับรองฯ</t>
  </si>
  <si>
    <r>
      <t>ตารางที่ 12</t>
    </r>
    <r>
      <rPr>
        <b/>
        <sz val="18"/>
        <rFont val="TH SarabunPSK"/>
        <family val="2"/>
      </rPr>
      <t xml:space="preserve">  รายงานเปรียบเทียบต้นทุนทางอ้อมตามลักษณะของต้นทุน (คงที่/ผันแปร)</t>
    </r>
  </si>
  <si>
    <t>งบประมาณ  พ.ศ. 2560</t>
  </si>
  <si>
    <t>ต้นทุนทางอ้อม</t>
  </si>
  <si>
    <t xml:space="preserve"> ต้นทุนคงที่</t>
  </si>
  <si>
    <t xml:space="preserve"> ต้นทุนผันแปร</t>
  </si>
  <si>
    <t>คงที่</t>
  </si>
  <si>
    <t>เพิ่ม/(ลด)%</t>
  </si>
  <si>
    <t>(3) = (1)+(2)</t>
  </si>
  <si>
    <t>(6) = (4)+(5)</t>
  </si>
  <si>
    <t>(7) = (4)-(1)</t>
  </si>
  <si>
    <t>(8) = (5)-(2)</t>
  </si>
  <si>
    <t>(9) = (6)-(3)</t>
  </si>
  <si>
    <t>x100/ (1)</t>
  </si>
  <si>
    <t>x100/ (2)</t>
  </si>
  <si>
    <t>x100/ (3)</t>
  </si>
  <si>
    <t>ค่าตอบแทนใช้สอยและวัสดุ</t>
  </si>
  <si>
    <t>ค่าใช้จ่ายบุคลากร</t>
  </si>
  <si>
    <t>ค่าเสื่อมราคาและตัดจำหน่าย</t>
  </si>
  <si>
    <t>รายงานเปรียบเทียบผลการคำนวณต้นทุนผลผลิตระหว่างปีงบประมาณ พ.ศ. 2560 และ ปีงบประมาณ พ.ศ 2561</t>
  </si>
  <si>
    <t>งบประมาณ  พ.ศ. 2561</t>
  </si>
  <si>
    <t>อุตาหกรรม</t>
  </si>
  <si>
    <t xml:space="preserve">18.พัฒนาและยกระดับผลิตภาพแรงงาน   </t>
  </si>
  <si>
    <t xml:space="preserve">15. พัฒนาศักยภาพแรงงานเพื่อรองรับการจ่ายค่าจ้างตามมาตรฐานฝีมือ   </t>
  </si>
  <si>
    <t xml:space="preserve">12. พัฒนาฝีมือให้แก่กลุ่มวิสาหกิจชุมชน และผู้มีรายได้น้อย   </t>
  </si>
  <si>
    <t xml:space="preserve">9. เพิ่มทักษะกำลังแรงงานในพื้นที่ 10 จังหวัด ในพื้นที่เขตพัฒนาเศรษฐกิจพิเศษ </t>
  </si>
  <si>
    <t xml:space="preserve">2. ฝึกอบรมฝีมือให้กับกลุ่มเป้าหมายตามโครงการพาคนกลับบ้าน  </t>
  </si>
  <si>
    <t xml:space="preserve">1. ฝึกทักษะอาชีพให้กับกลุ่มเป้าหมายในพื้นที่จังหวัดชายแดนภาคใต้  </t>
  </si>
  <si>
    <t>7. จัดทำมาตรฐานฝีมือแรงงานแห่งชาติและวิธีการทดสอบมาตรฐานฝีมือเพื่อรองรับ Thailank 4.0</t>
  </si>
  <si>
    <t xml:space="preserve">10. วิจัยเพื่อขับเคลื่อนผลิตภาพแรงงานสู่ Thailand 4.0     </t>
  </si>
  <si>
    <t xml:space="preserve">11. ควบคุมและกำกับดูแลการประกอบอาชีพที่อาจเป็นอันตรายต่อสาธารณะหรือต้องใช้ความรู้ความสามารถสู่ Safety At Work    </t>
  </si>
  <si>
    <t>10. พัฒนามาตรฐานฝีมือแรงงานแห่งชาติ</t>
  </si>
  <si>
    <t>11. ส่งเสริมมาตรฐานฝีมือแรงงานแห่งชาติ</t>
  </si>
  <si>
    <t>12. การแข่งขันฝีมือแรงงาน</t>
  </si>
  <si>
    <t>13. พัฒนาระบบฝึกอบรมฝีมือแรงงาน</t>
  </si>
  <si>
    <t>14. ด้านพัฒนาและจัดทำหลักสูตรการฝึกอบรมฝีมือแรงงาน</t>
  </si>
  <si>
    <t>15. ด้านพัฒนาบุคลากรฝึก</t>
  </si>
  <si>
    <t>16. ด้านการพัฒนาระบบและรูปแบบการฝึก</t>
  </si>
  <si>
    <t>17. พัฒนาครุภัณฑ์การฝึก</t>
  </si>
  <si>
    <t>18. ด้านพัฒนาวิยากรต้นแบบ</t>
  </si>
  <si>
    <t>19. ด้านการเงินและบัญชี</t>
  </si>
  <si>
    <t>20. ด้านพัสดุ (จัดซื้อจัดจ้าง)</t>
  </si>
  <si>
    <t>21. ด้านงบประมาณ</t>
  </si>
  <si>
    <t>22. ด้านบริหารบุคลากร</t>
  </si>
  <si>
    <t>23. ด้านพัฒนาทรัพยากรบุคคล</t>
  </si>
  <si>
    <t>24. ด้านวินัยและความรับผิดทางละเมิด</t>
  </si>
  <si>
    <t>25. ด้านกฏหมายของกรมพัฒนาฝีมือแรงงาน</t>
  </si>
  <si>
    <t>26. ส่งเสริมประสานความร่วมมือกับภาครัฐ/เอกชน</t>
  </si>
  <si>
    <t>27. ด้านพัฒนาระบบบริหารราชการ</t>
  </si>
  <si>
    <t>28. ดำเนินการเกี่ยวกับระบบควบคุมภายในกรม</t>
  </si>
  <si>
    <t>29. ด้านตรวจสอบภายใน</t>
  </si>
  <si>
    <t>30. ด้านการวิเทศสัมพันธ์</t>
  </si>
  <si>
    <t>31. ด้านเทคโนโลยีสารสนเทศภายในหน่วยงาน</t>
  </si>
  <si>
    <t>32. ด้านเครือข่ายอินเตอร์เน็ตและเว็ปไซด์</t>
  </si>
  <si>
    <t>33. จัดทำหลักเกณฑ์รับรองความรู้ความสามารถ</t>
  </si>
  <si>
    <t>34. ด้านการประชาสัมพันธ์</t>
  </si>
  <si>
    <t>คน/วัน</t>
  </si>
  <si>
    <t>35. ด้านประกันคุณภาพการพัฒนาฝีมือแรงงาน</t>
  </si>
  <si>
    <t>36. ศึกษารูปแบบศักยภาพแรงงาน</t>
  </si>
  <si>
    <t>37. ด้านพัฒนาและจัดทำชุดการฝึกอบรมฝีมือแรงงาน (ต้นแบบ)</t>
  </si>
  <si>
    <t>18. ด้านพัฒนาวิทยากรต้นแบบ</t>
  </si>
  <si>
    <t>38. พัฒนาสถานฝึก</t>
  </si>
  <si>
    <t>39. พัฒนาระบบสารสนเทศสถานฝึก</t>
  </si>
  <si>
    <t xml:space="preserve">17. พัฒนาฝีมือแรงงานนานาชาติ   </t>
  </si>
  <si>
    <t>2.โครงการเพิ่มศักยภาพแรงงานรองรับ Thailand 4.0</t>
  </si>
  <si>
    <r>
      <t xml:space="preserve">ตารางที่ 2 </t>
    </r>
    <r>
      <rPr>
        <b/>
        <sz val="14"/>
        <rFont val="TH SarabunPSK"/>
        <family val="2"/>
      </rPr>
      <t xml:space="preserve">รายงานต้นทุนตามศูนย์ต้นทุนแยกตามประเภทค่าใช้จ่าย  </t>
    </r>
  </si>
  <si>
    <t xml:space="preserve">          ต้นทุนต่อหน่วยลดลงทุกผลผลิตจากปีงบประมาณ 2560 ประกอบกับกรมได้รับมอบหมายให้ดำเนินโครงการเพิ่มศักยภาพผู้มีรายได้น้อยที่ลงทะเบียนสวัสดิการแห่งรัฐ</t>
  </si>
  <si>
    <t>12. รายการค่าใช้จ่ายบุคลากรภาครัฐ</t>
  </si>
  <si>
    <t>หลักสูตร/สาขา</t>
  </si>
  <si>
    <t>คน/หลักสูตร/สาขา/ครั้ง</t>
  </si>
  <si>
    <t>6. โครงการเพิ่มทักษะกำลังแรงงานในพื้นที่ 10 จังหวัด ในพื้นที่เขตพัฒนาเศรษฐกิจพิเศษ</t>
  </si>
  <si>
    <t>12. รายการค่าใช้จ่ายบุคลากรภาครัฐ พัฒนาและยกระดับผลิตภาพแรงงาน</t>
  </si>
  <si>
    <t xml:space="preserve">18. พัฒนาระบบการฝึกอบรมฝีมือแรงงาน  </t>
  </si>
  <si>
    <t xml:space="preserve">19.ส่งเสริมและสนับสนุนให้สถานประกอบกิจการดำเนินการพัฒนาฝีมือแรงงาน   </t>
  </si>
  <si>
    <t xml:space="preserve">20. จัดทำหลักเกณฑ์ พัฒนาระบบ ส่งเสริมและรับรองมาตรฐานฝีมือแรงงาน  </t>
  </si>
  <si>
    <t xml:space="preserve">21. พัฒนาช่างเครื่องช่วยคนพิการกับมูลนิธิขาเทียม   </t>
  </si>
  <si>
    <t xml:space="preserve">22. ขับเคลื่อนยุทธศาสตร์การพัฒนากำลังคนระดับชาติรองรับการพัฒนาอุตสาหกรรมศักยภาพของประเทศ  </t>
  </si>
  <si>
    <t xml:space="preserve">23.ฝึกอบรมแรงงานกลุ่มเป้าหมายเฉพาะเพื่อเพิ่มโอกาสในการประกอบอาชีพ  </t>
  </si>
  <si>
    <t xml:space="preserve">24. ฝึกอบรมแรงงานผู้สูงอายุเพื่อเพิ่มโอกาสในการประกอบอาชีพ   </t>
  </si>
  <si>
    <t xml:space="preserve">25. เสริมสร้างธรรมาภิบาลป้องกันและลดความเสี่ยงในการเกิดการทุจริตและประพฤติมิชอบ </t>
  </si>
  <si>
    <t xml:space="preserve">26. พัฒนาอุตสาหกรรมเทคโนโลยีชั้นสูงและอุตสาหกรรมแห่งอนาคตในพื้นที่ระเบียงเศรษฐกิจภาคตะวันออก   </t>
  </si>
  <si>
    <t xml:space="preserve">27. การฝึกอาชีพเสริมเพื่อการมีงานทำหรือการประกอบอาชีพอิสระ  </t>
  </si>
  <si>
    <t xml:space="preserve">28. การส่งเสริมและฝึกอาชีพหลักสูตรฝึกอาชีพเร่งด่วนช่างอเนกประสงค์ (ช่างชุมชน) </t>
  </si>
  <si>
    <t xml:space="preserve">18. พัฒนาระบบการฝึกอบรมฝีมือแรงงาน </t>
  </si>
  <si>
    <t xml:space="preserve">19.ส่งเสริมและสนับสนุนให้สถานประกอบกิจการดำเนินการพัฒนาฝีมือแรงงาน  </t>
  </si>
  <si>
    <t xml:space="preserve">22. ขับเคลื่อนยุทธศาสตร์การพัฒนากำลังคนระดับชาติรองรับการพัฒนาอุตสาหกรรมศักยภาพของประเทศ </t>
  </si>
  <si>
    <t xml:space="preserve">23.ฝึกอบรมแรงงานกลุ่มเป้าหมายเฉพาะเพื่อเพิ่มโอกาสในการประกอบอาชีพ </t>
  </si>
  <si>
    <t xml:space="preserve">24. ฝึกอบรมแรงงานผู้สูงอายุเพื่อเพิ่มโอกาสในการประกอบอาชีพ  </t>
  </si>
  <si>
    <t xml:space="preserve">28. การส่งเสริมและฝึกอาชีพหลักสูตรฝึกอาชีพเร่งด่วนช่างอเนกประสงค์ (ช่างชุมชน)  </t>
  </si>
  <si>
    <t>12. พัฒนา/ขับเคลื่อนความร่วมมือเครือข่าย และส่งเสริมการพัฒนาฝีมือแรงงาน</t>
  </si>
  <si>
    <t>13. โครงการฝึกอบรมแรงงานกลุ่มเป้าหมายเฉพาะเพื่อเพิ่มโอกาสในการประกอบอาชีพ</t>
  </si>
  <si>
    <t>14. โครงการฝึกอบรมแรงงานผู้สูงอายุเพื่อเพิ่มโอกาสในการประกอบอาชีพ</t>
  </si>
  <si>
    <t>15. โครงการเสริมสร้างธรรมาภิบาลป้องกันและลดความเสี่ยงในการเกิดการทุจริตและประพฤติมิชอบ</t>
  </si>
  <si>
    <t>16. โครงการพัฒนาอุตสาหกรรมเทคโนโลยีชั้นสูงและอุตสาหกรรมแห่งอนาคตในพื้นที่ระเบียงเศรษฐกิจภาคตะวันออก</t>
  </si>
  <si>
    <t>17. โครงการเพิ่มศักยภาพผู้มีรายได้น้อยที่ลงทะเบียนสวัสดิการแห่งรัฐ</t>
  </si>
  <si>
    <t>25. เสริมสร้างธรรมาภิบาลป้องกันและลดความเสี่ยงในการเกิดการทุจริตและประพฤติมิชอบ</t>
  </si>
  <si>
    <t>27. ฝึกอบรมฝีมือแรงงานตามโครงการอันเนื่องมาจากพระราชดำริ</t>
  </si>
  <si>
    <t>28. จัดตั้งศูนย์ทดสอบมาตรฐานฝีมือแรงงาน</t>
  </si>
  <si>
    <t>29. จัดหาครุภัณฑ์ฝึกและทดสอบมาตรฐานฝีมือแรงงานพนักงานควบคุมเครื่องจักรรถยก</t>
  </si>
  <si>
    <t>30. ฝึกอบรมฝีมือแรงงานรองรับระบบขนส่งด้านโลจิสติกส์และก่อสร้าง</t>
  </si>
  <si>
    <t>31.พัฒนาฝีมือแรงงานเพื่อส่งเสริมการประกอบอาชีพ</t>
  </si>
  <si>
    <t>32.การฝึกอาชีพเสริมเพื่อการมีงานทำหรือการประกอบอาชีพอิสระ</t>
  </si>
  <si>
    <t>33. การส่งเสริมและฝึกอาชีพหลักสูตรฝึกอาชีพเร่งด่วนช่างอเนกประสงค์ (ช่างชุมชน)</t>
  </si>
  <si>
    <t>31. พัฒนาฝีมือแรงงานเพื่อส่งเสริมการประกอบอาชีพ</t>
  </si>
  <si>
    <t>32. การฝึกอาชีพเสริมเพื่อการมีงานทำหรือการประกอบอาชีพอิสระ</t>
  </si>
  <si>
    <t>7. โครงการฝึกอบรมฝีมือแรงงานรองรับระบบขนส่งด้านโลจิสติกส์และก่อสร้าง</t>
  </si>
  <si>
    <t>8. โครงการวิจัยเพื่อขับเคลื่อนผลิตภาพแรงงานสู่ Thailand 4.0</t>
  </si>
  <si>
    <t>9. โครงการควบคุมและกำกับดูแลการประกอบอาชีพที่อาจเป็นอันตรายต่อสาธารณะ</t>
  </si>
  <si>
    <t>10. โครงการพัฒนาฝีมือให้แก่กลุ่มวิสาหกิจชุมขน และผู้มีรายได้น้อย</t>
  </si>
  <si>
    <t>11. โครงการยกระดับแรงงานไทยให้ได้มาตรฐานฝีมือแรงงานเพื่อรองรับการแข่งขัน</t>
  </si>
  <si>
    <t>12. โครงการพัฒนาฝีมือแรงงานนานาชาติเพื่อการพัฒนาความร่วมมือทางเศรษฐกิจในอนุภูมิภาคลุ่มน้ำโขงและเอเซียตะวันออกเฉียงใต้ (GMS-ASEAN)</t>
  </si>
  <si>
    <t>13. พัฒนา/ขับเคลื่อนความร่วมมือเครือข่าย และส่งเสริมการพัฒนาฝีมือแรงงาน</t>
  </si>
  <si>
    <t>14. โครงการฝึกอบรมแรงงานกลุ่มเป้าหมายเฉพาะเพื่อเพิ่มโอกาสในการประกอบอาชีพ</t>
  </si>
  <si>
    <t>15. โครงการฝึกอบรมแรงงานผู้สูงอายุเพื่อเพิ่มโอกาสในการประกอบอาชีพ</t>
  </si>
  <si>
    <t>16. โครงการส่งเสริมธรรมาภิบาลป้องกันและลดความเสี่ยงในการเกิดการทุจริตและประพฤติมิชอบ</t>
  </si>
  <si>
    <t>17. โครงการพัฒนาอุตสาหกรรมเทคโนโลยีชั้นสูงและอุตสาหกรรมแห่งอนาคตในพื้นที่ระเบียงเศรษฐกิจภาคตะวันออก</t>
  </si>
  <si>
    <t>18. โครงการเพิ่มศักยภาพผู้มีรายได้น้อยที่ลงทะเบียนสวัสดิการแห่งรัฐ</t>
  </si>
  <si>
    <t>19. โครงการพัฒนาฝีมือแรงงานร่วมเทิดทูนสถาบันพระมหากษัตริย์</t>
  </si>
  <si>
    <r>
      <t>หัก</t>
    </r>
    <r>
      <rPr>
        <b/>
        <sz val="13"/>
        <rFont val="TH SarabunPSK"/>
        <family val="2"/>
      </rPr>
      <t xml:space="preserve">   ต้นทุนที่ไม่เกี่ยวข้องในต้นทุนผลผลิต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</si>
</sst>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_(* #,##0.00_);_(* \(#,##0.00\);_(* &quot;-&quot;??_);_(@_)"/>
    <numFmt numFmtId="190" formatCode="\(#,##0.00;\(#,##0.00\)"/>
    <numFmt numFmtId="191" formatCode="#,##0.00_);[Red]\(#,##0.00\)"/>
    <numFmt numFmtId="192" formatCode="#,##0.00_);\(#,##0.00\)"/>
  </numFmts>
  <fonts count="3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b/>
      <u/>
      <sz val="18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  <font>
      <b/>
      <sz val="16"/>
      <name val="TH SarabunPSK"/>
      <family val="2"/>
    </font>
    <font>
      <b/>
      <u/>
      <sz val="16"/>
      <name val="TH SarabunPSK"/>
      <family val="2"/>
    </font>
    <font>
      <sz val="14"/>
      <name val="TH SarabunPSK"/>
      <family val="2"/>
    </font>
    <font>
      <sz val="18"/>
      <name val="TH SarabunPSK"/>
      <family val="2"/>
    </font>
    <font>
      <b/>
      <sz val="14"/>
      <name val="TH SarabunPSK"/>
      <family val="2"/>
    </font>
    <font>
      <sz val="10"/>
      <name val="TH SarabunPSK"/>
      <family val="2"/>
    </font>
    <font>
      <sz val="16"/>
      <color theme="1"/>
      <name val="TH SarabunPSK"/>
      <family val="2"/>
    </font>
    <font>
      <sz val="10"/>
      <name val="Arial"/>
      <family val="2"/>
    </font>
    <font>
      <b/>
      <sz val="12"/>
      <name val="TH SarabunPSK"/>
      <family val="2"/>
    </font>
    <font>
      <b/>
      <sz val="20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2"/>
      <name val="TH SarabunPSK"/>
      <family val="2"/>
    </font>
    <font>
      <b/>
      <sz val="26"/>
      <name val="TH SarabunPSK"/>
      <family val="2"/>
    </font>
    <font>
      <sz val="13"/>
      <name val="TH SarabunPSK"/>
      <family val="2"/>
    </font>
    <font>
      <b/>
      <sz val="10"/>
      <name val="TH SarabunPSK"/>
      <family val="2"/>
    </font>
    <font>
      <sz val="12"/>
      <color theme="1"/>
      <name val="TH SarabunPSK"/>
      <family val="2"/>
    </font>
    <font>
      <sz val="13"/>
      <color theme="1"/>
      <name val="TH SarabunPSK"/>
      <family val="2"/>
    </font>
    <font>
      <sz val="11"/>
      <color indexed="8"/>
      <name val="Calibri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b/>
      <sz val="13"/>
      <name val="TH SarabunPSK"/>
      <family val="2"/>
    </font>
    <font>
      <b/>
      <u/>
      <sz val="13"/>
      <name val="TH SarabunPSK"/>
      <family val="2"/>
    </font>
    <font>
      <sz val="13"/>
      <color indexed="8"/>
      <name val="TH SarabunPSK"/>
      <family val="2"/>
    </font>
    <font>
      <b/>
      <u/>
      <sz val="14"/>
      <name val="TH SarabunPSK"/>
      <family val="2"/>
    </font>
    <font>
      <sz val="14"/>
      <color theme="1"/>
      <name val="Tahoma"/>
      <family val="2"/>
      <charset val="222"/>
      <scheme val="minor"/>
    </font>
    <font>
      <sz val="14"/>
      <color indexed="8"/>
      <name val="TH SarabunPSK"/>
      <family val="2"/>
    </font>
    <font>
      <sz val="1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2">
    <xf numFmtId="0" fontId="0" fillId="0" borderId="0" xfId="0"/>
    <xf numFmtId="0" fontId="2" fillId="0" borderId="0" xfId="0" applyFont="1"/>
    <xf numFmtId="0" fontId="2" fillId="0" borderId="0" xfId="0" applyFont="1" applyFill="1"/>
    <xf numFmtId="43" fontId="2" fillId="0" borderId="0" xfId="1" applyFont="1" applyFill="1"/>
    <xf numFmtId="0" fontId="3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2" xfId="0" applyFont="1" applyBorder="1"/>
    <xf numFmtId="4" fontId="5" fillId="0" borderId="3" xfId="0" applyNumberFormat="1" applyFont="1" applyFill="1" applyBorder="1" applyAlignment="1">
      <alignment horizontal="right" wrapText="1"/>
    </xf>
    <xf numFmtId="43" fontId="4" fillId="2" borderId="2" xfId="0" applyNumberFormat="1" applyFont="1" applyFill="1" applyBorder="1"/>
    <xf numFmtId="0" fontId="4" fillId="0" borderId="0" xfId="0" applyFont="1"/>
    <xf numFmtId="43" fontId="4" fillId="0" borderId="0" xfId="1" applyFont="1" applyFill="1"/>
    <xf numFmtId="43" fontId="2" fillId="0" borderId="0" xfId="1" applyFont="1" applyFill="1" applyAlignment="1">
      <alignment horizontal="center"/>
    </xf>
    <xf numFmtId="0" fontId="4" fillId="0" borderId="4" xfId="0" applyFont="1" applyBorder="1"/>
    <xf numFmtId="4" fontId="5" fillId="0" borderId="4" xfId="0" applyNumberFormat="1" applyFont="1" applyFill="1" applyBorder="1" applyAlignment="1">
      <alignment horizontal="right" wrapText="1"/>
    </xf>
    <xf numFmtId="43" fontId="4" fillId="2" borderId="4" xfId="0" applyNumberFormat="1" applyFont="1" applyFill="1" applyBorder="1"/>
    <xf numFmtId="43" fontId="4" fillId="0" borderId="0" xfId="1" applyFont="1"/>
    <xf numFmtId="43" fontId="4" fillId="0" borderId="4" xfId="0" applyNumberFormat="1" applyFont="1" applyBorder="1"/>
    <xf numFmtId="4" fontId="5" fillId="0" borderId="5" xfId="0" applyNumberFormat="1" applyFont="1" applyFill="1" applyBorder="1" applyAlignment="1">
      <alignment horizontal="right" wrapText="1"/>
    </xf>
    <xf numFmtId="0" fontId="4" fillId="0" borderId="5" xfId="0" applyFont="1" applyBorder="1"/>
    <xf numFmtId="0" fontId="6" fillId="0" borderId="6" xfId="0" applyFont="1" applyBorder="1"/>
    <xf numFmtId="43" fontId="6" fillId="0" borderId="6" xfId="0" applyNumberFormat="1" applyFont="1" applyBorder="1"/>
    <xf numFmtId="0" fontId="6" fillId="0" borderId="0" xfId="0" applyFont="1"/>
    <xf numFmtId="43" fontId="6" fillId="0" borderId="0" xfId="1" applyFont="1" applyFill="1"/>
    <xf numFmtId="43" fontId="4" fillId="0" borderId="0" xfId="0" applyNumberFormat="1" applyFont="1" applyFill="1"/>
    <xf numFmtId="0" fontId="4" fillId="0" borderId="0" xfId="0" applyFont="1" applyFill="1"/>
    <xf numFmtId="43" fontId="6" fillId="0" borderId="0" xfId="0" applyNumberFormat="1" applyFont="1" applyFill="1"/>
    <xf numFmtId="0" fontId="8" fillId="0" borderId="0" xfId="0" applyFont="1"/>
    <xf numFmtId="0" fontId="9" fillId="0" borderId="0" xfId="0" applyFont="1"/>
    <xf numFmtId="43" fontId="9" fillId="0" borderId="0" xfId="1" applyFont="1"/>
    <xf numFmtId="0" fontId="9" fillId="0" borderId="0" xfId="0" applyFont="1" applyFill="1"/>
    <xf numFmtId="43" fontId="9" fillId="0" borderId="0" xfId="1" applyFont="1" applyFill="1"/>
    <xf numFmtId="43" fontId="2" fillId="2" borderId="0" xfId="1" applyFont="1" applyFill="1" applyBorder="1"/>
    <xf numFmtId="0" fontId="6" fillId="0" borderId="0" xfId="0" applyFont="1" applyFill="1" applyAlignment="1"/>
    <xf numFmtId="43" fontId="6" fillId="2" borderId="0" xfId="1" applyFont="1" applyFill="1"/>
    <xf numFmtId="43" fontId="10" fillId="0" borderId="0" xfId="1" applyFont="1" applyFill="1"/>
    <xf numFmtId="0" fontId="6" fillId="0" borderId="0" xfId="0" applyFont="1" applyFill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10" xfId="0" applyFont="1" applyFill="1" applyBorder="1" applyAlignment="1"/>
    <xf numFmtId="43" fontId="6" fillId="2" borderId="10" xfId="1" applyFont="1" applyFill="1" applyBorder="1" applyAlignment="1">
      <alignment horizontal="center"/>
    </xf>
    <xf numFmtId="43" fontId="6" fillId="2" borderId="1" xfId="1" applyFont="1" applyFill="1" applyBorder="1"/>
    <xf numFmtId="0" fontId="6" fillId="0" borderId="1" xfId="0" applyFont="1" applyFill="1" applyBorder="1" applyAlignment="1">
      <alignment horizontal="left"/>
    </xf>
    <xf numFmtId="43" fontId="4" fillId="2" borderId="9" xfId="1" applyFont="1" applyFill="1" applyBorder="1"/>
    <xf numFmtId="43" fontId="4" fillId="2" borderId="11" xfId="1" applyFont="1" applyFill="1" applyBorder="1"/>
    <xf numFmtId="43" fontId="4" fillId="2" borderId="0" xfId="1" applyFont="1" applyFill="1"/>
    <xf numFmtId="0" fontId="4" fillId="2" borderId="0" xfId="0" applyFont="1" applyFill="1"/>
    <xf numFmtId="43" fontId="4" fillId="2" borderId="1" xfId="1" applyFont="1" applyFill="1" applyBorder="1"/>
    <xf numFmtId="0" fontId="6" fillId="0" borderId="1" xfId="0" applyFont="1" applyFill="1" applyBorder="1" applyAlignment="1"/>
    <xf numFmtId="0" fontId="6" fillId="2" borderId="0" xfId="0" applyFont="1" applyFill="1"/>
    <xf numFmtId="0" fontId="4" fillId="0" borderId="0" xfId="0" applyFont="1" applyFill="1" applyAlignment="1"/>
    <xf numFmtId="43" fontId="8" fillId="0" borderId="0" xfId="1" applyFont="1" applyFill="1"/>
    <xf numFmtId="0" fontId="8" fillId="0" borderId="0" xfId="0" applyFont="1" applyFill="1"/>
    <xf numFmtId="43" fontId="2" fillId="2" borderId="0" xfId="1" applyFont="1" applyFill="1"/>
    <xf numFmtId="0" fontId="2" fillId="2" borderId="0" xfId="0" applyFont="1" applyFill="1"/>
    <xf numFmtId="43" fontId="2" fillId="2" borderId="0" xfId="0" applyNumberFormat="1" applyFont="1" applyFill="1"/>
    <xf numFmtId="0" fontId="3" fillId="2" borderId="0" xfId="0" applyFont="1" applyFill="1"/>
    <xf numFmtId="43" fontId="14" fillId="2" borderId="0" xfId="1" applyNumberFormat="1" applyFont="1" applyFill="1"/>
    <xf numFmtId="43" fontId="14" fillId="2" borderId="0" xfId="0" applyNumberFormat="1" applyFont="1" applyFill="1"/>
    <xf numFmtId="0" fontId="10" fillId="2" borderId="8" xfId="0" applyFont="1" applyFill="1" applyBorder="1"/>
    <xf numFmtId="43" fontId="10" fillId="2" borderId="0" xfId="1" applyFont="1" applyFill="1"/>
    <xf numFmtId="43" fontId="10" fillId="2" borderId="0" xfId="0" applyNumberFormat="1" applyFont="1" applyFill="1"/>
    <xf numFmtId="43" fontId="10" fillId="2" borderId="8" xfId="1" applyFont="1" applyFill="1" applyBorder="1" applyAlignment="1">
      <alignment horizontal="center"/>
    </xf>
    <xf numFmtId="0" fontId="10" fillId="2" borderId="0" xfId="0" applyFont="1" applyFill="1"/>
    <xf numFmtId="0" fontId="2" fillId="2" borderId="9" xfId="0" applyFont="1" applyFill="1" applyBorder="1" applyAlignment="1">
      <alignment horizontal="center"/>
    </xf>
    <xf numFmtId="43" fontId="2" fillId="2" borderId="9" xfId="1" applyFont="1" applyFill="1" applyBorder="1" applyAlignment="1">
      <alignment horizontal="center"/>
    </xf>
    <xf numFmtId="43" fontId="2" fillId="2" borderId="0" xfId="1" applyFont="1" applyFill="1" applyAlignment="1">
      <alignment horizontal="center"/>
    </xf>
    <xf numFmtId="0" fontId="2" fillId="2" borderId="11" xfId="0" applyFont="1" applyFill="1" applyBorder="1"/>
    <xf numFmtId="43" fontId="2" fillId="2" borderId="11" xfId="1" applyFont="1" applyFill="1" applyBorder="1" applyAlignment="1">
      <alignment horizontal="center"/>
    </xf>
    <xf numFmtId="43" fontId="4" fillId="2" borderId="4" xfId="1" applyFont="1" applyFill="1" applyBorder="1"/>
    <xf numFmtId="43" fontId="8" fillId="2" borderId="4" xfId="1" applyFont="1" applyFill="1" applyBorder="1"/>
    <xf numFmtId="43" fontId="6" fillId="2" borderId="4" xfId="1" applyFont="1" applyFill="1" applyBorder="1"/>
    <xf numFmtId="187" fontId="9" fillId="2" borderId="4" xfId="1" applyNumberFormat="1" applyFont="1" applyFill="1" applyBorder="1"/>
    <xf numFmtId="0" fontId="4" fillId="2" borderId="4" xfId="0" applyFont="1" applyFill="1" applyBorder="1" applyAlignment="1">
      <alignment horizontal="center"/>
    </xf>
    <xf numFmtId="43" fontId="2" fillId="2" borderId="4" xfId="1" applyFont="1" applyFill="1" applyBorder="1"/>
    <xf numFmtId="49" fontId="4" fillId="2" borderId="4" xfId="0" applyNumberFormat="1" applyFont="1" applyFill="1" applyBorder="1" applyAlignment="1">
      <alignment horizontal="left" shrinkToFit="1"/>
    </xf>
    <xf numFmtId="187" fontId="4" fillId="2" borderId="4" xfId="1" applyNumberFormat="1" applyFont="1" applyFill="1" applyBorder="1" applyAlignment="1">
      <alignment horizontal="center"/>
    </xf>
    <xf numFmtId="0" fontId="4" fillId="2" borderId="4" xfId="0" applyFont="1" applyFill="1" applyBorder="1"/>
    <xf numFmtId="43" fontId="4" fillId="2" borderId="0" xfId="0" applyNumberFormat="1" applyFont="1" applyFill="1"/>
    <xf numFmtId="43" fontId="4" fillId="2" borderId="2" xfId="1" applyFont="1" applyFill="1" applyBorder="1"/>
    <xf numFmtId="0" fontId="4" fillId="2" borderId="2" xfId="0" applyFont="1" applyFill="1" applyBorder="1" applyAlignment="1">
      <alignment horizontal="center"/>
    </xf>
    <xf numFmtId="43" fontId="6" fillId="2" borderId="2" xfId="1" applyFont="1" applyFill="1" applyBorder="1"/>
    <xf numFmtId="0" fontId="4" fillId="2" borderId="2" xfId="0" applyFont="1" applyFill="1" applyBorder="1"/>
    <xf numFmtId="0" fontId="4" fillId="2" borderId="4" xfId="0" applyFont="1" applyFill="1" applyBorder="1" applyAlignment="1">
      <alignment vertical="top"/>
    </xf>
    <xf numFmtId="43" fontId="4" fillId="2" borderId="4" xfId="1" applyFont="1" applyFill="1" applyBorder="1" applyAlignment="1">
      <alignment vertical="top"/>
    </xf>
    <xf numFmtId="43" fontId="6" fillId="2" borderId="4" xfId="1" applyFont="1" applyFill="1" applyBorder="1" applyAlignment="1">
      <alignment vertical="top"/>
    </xf>
    <xf numFmtId="187" fontId="4" fillId="2" borderId="4" xfId="1" applyNumberFormat="1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 shrinkToFit="1"/>
    </xf>
    <xf numFmtId="0" fontId="4" fillId="2" borderId="4" xfId="0" applyFont="1" applyFill="1" applyBorder="1" applyAlignment="1">
      <alignment shrinkToFit="1"/>
    </xf>
    <xf numFmtId="0" fontId="4" fillId="2" borderId="4" xfId="0" applyFont="1" applyFill="1" applyBorder="1" applyAlignment="1">
      <alignment horizontal="center" wrapText="1" shrinkToFit="1"/>
    </xf>
    <xf numFmtId="0" fontId="2" fillId="2" borderId="6" xfId="0" applyFont="1" applyFill="1" applyBorder="1" applyAlignment="1">
      <alignment horizontal="center"/>
    </xf>
    <xf numFmtId="43" fontId="2" fillId="2" borderId="6" xfId="1" applyFont="1" applyFill="1" applyBorder="1"/>
    <xf numFmtId="0" fontId="2" fillId="2" borderId="6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43" fontId="8" fillId="2" borderId="0" xfId="1" applyFont="1" applyFill="1"/>
    <xf numFmtId="187" fontId="8" fillId="2" borderId="0" xfId="1" applyNumberFormat="1" applyFont="1" applyFill="1"/>
    <xf numFmtId="0" fontId="8" fillId="2" borderId="0" xfId="0" applyFont="1" applyFill="1"/>
    <xf numFmtId="43" fontId="15" fillId="2" borderId="0" xfId="1" applyFont="1" applyFill="1"/>
    <xf numFmtId="0" fontId="2" fillId="2" borderId="9" xfId="0" applyFont="1" applyFill="1" applyBorder="1"/>
    <xf numFmtId="43" fontId="2" fillId="2" borderId="9" xfId="1" applyFont="1" applyFill="1" applyBorder="1"/>
    <xf numFmtId="187" fontId="2" fillId="2" borderId="9" xfId="0" applyNumberFormat="1" applyFont="1" applyFill="1" applyBorder="1" applyAlignment="1">
      <alignment horizontal="center"/>
    </xf>
    <xf numFmtId="43" fontId="2" fillId="2" borderId="11" xfId="1" applyFont="1" applyFill="1" applyBorder="1"/>
    <xf numFmtId="0" fontId="9" fillId="2" borderId="11" xfId="0" applyFont="1" applyFill="1" applyBorder="1" applyAlignment="1">
      <alignment horizontal="center"/>
    </xf>
    <xf numFmtId="43" fontId="8" fillId="2" borderId="4" xfId="1" applyFont="1" applyFill="1" applyBorder="1" applyAlignment="1">
      <alignment wrapText="1"/>
    </xf>
    <xf numFmtId="43" fontId="18" fillId="2" borderId="4" xfId="1" applyFont="1" applyFill="1" applyBorder="1"/>
    <xf numFmtId="43" fontId="3" fillId="0" borderId="0" xfId="1" applyFont="1" applyFill="1"/>
    <xf numFmtId="187" fontId="2" fillId="0" borderId="0" xfId="1" applyNumberFormat="1" applyFont="1" applyFill="1"/>
    <xf numFmtId="43" fontId="6" fillId="0" borderId="8" xfId="1" applyFont="1" applyFill="1" applyBorder="1"/>
    <xf numFmtId="187" fontId="6" fillId="0" borderId="0" xfId="1" applyNumberFormat="1" applyFont="1" applyFill="1"/>
    <xf numFmtId="43" fontId="6" fillId="0" borderId="8" xfId="1" applyFont="1" applyFill="1" applyBorder="1" applyAlignment="1">
      <alignment horizontal="center"/>
    </xf>
    <xf numFmtId="43" fontId="6" fillId="0" borderId="0" xfId="1" applyFont="1" applyFill="1" applyAlignment="1">
      <alignment horizontal="center"/>
    </xf>
    <xf numFmtId="43" fontId="4" fillId="0" borderId="1" xfId="1" applyFont="1" applyFill="1" applyBorder="1" applyAlignment="1">
      <alignment vertical="center"/>
    </xf>
    <xf numFmtId="187" fontId="4" fillId="0" borderId="1" xfId="1" applyNumberFormat="1" applyFont="1" applyFill="1" applyBorder="1"/>
    <xf numFmtId="0" fontId="4" fillId="0" borderId="1" xfId="0" applyFont="1" applyFill="1" applyBorder="1" applyAlignment="1">
      <alignment horizontal="center"/>
    </xf>
    <xf numFmtId="43" fontId="6" fillId="0" borderId="1" xfId="1" applyFont="1" applyFill="1" applyBorder="1"/>
    <xf numFmtId="187" fontId="4" fillId="0" borderId="1" xfId="1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/>
    </xf>
    <xf numFmtId="187" fontId="4" fillId="0" borderId="1" xfId="1" applyNumberFormat="1" applyFont="1" applyFill="1" applyBorder="1" applyAlignment="1">
      <alignment horizontal="center"/>
    </xf>
    <xf numFmtId="43" fontId="6" fillId="0" borderId="6" xfId="1" applyFont="1" applyFill="1" applyBorder="1" applyAlignment="1">
      <alignment horizontal="center"/>
    </xf>
    <xf numFmtId="43" fontId="6" fillId="0" borderId="6" xfId="1" applyFont="1" applyFill="1" applyBorder="1"/>
    <xf numFmtId="43" fontId="6" fillId="0" borderId="13" xfId="1" applyFont="1" applyFill="1" applyBorder="1" applyAlignment="1">
      <alignment horizontal="center"/>
    </xf>
    <xf numFmtId="187" fontId="4" fillId="0" borderId="0" xfId="1" applyNumberFormat="1" applyFont="1" applyFill="1"/>
    <xf numFmtId="43" fontId="17" fillId="0" borderId="0" xfId="1" applyFont="1" applyFill="1" applyBorder="1" applyAlignment="1">
      <alignment horizontal="right" vertical="center"/>
    </xf>
    <xf numFmtId="43" fontId="4" fillId="2" borderId="2" xfId="1" applyFont="1" applyFill="1" applyBorder="1" applyAlignment="1">
      <alignment horizontal="center"/>
    </xf>
    <xf numFmtId="43" fontId="4" fillId="2" borderId="4" xfId="1" applyFont="1" applyFill="1" applyBorder="1" applyAlignment="1">
      <alignment horizontal="center"/>
    </xf>
    <xf numFmtId="43" fontId="4" fillId="2" borderId="4" xfId="1" applyFont="1" applyFill="1" applyBorder="1" applyAlignment="1">
      <alignment horizontal="center" vertical="top"/>
    </xf>
    <xf numFmtId="43" fontId="4" fillId="0" borderId="11" xfId="1" applyFont="1" applyFill="1" applyBorder="1" applyAlignment="1">
      <alignment vertical="center"/>
    </xf>
    <xf numFmtId="43" fontId="4" fillId="0" borderId="9" xfId="1" applyFont="1" applyFill="1" applyBorder="1" applyAlignment="1">
      <alignment vertical="center"/>
    </xf>
    <xf numFmtId="187" fontId="4" fillId="0" borderId="11" xfId="1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43" fontId="6" fillId="0" borderId="11" xfId="1" applyFont="1" applyFill="1" applyBorder="1"/>
    <xf numFmtId="187" fontId="4" fillId="0" borderId="9" xfId="1" applyNumberFormat="1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43" fontId="6" fillId="0" borderId="9" xfId="1" applyFont="1" applyFill="1" applyBorder="1"/>
    <xf numFmtId="43" fontId="14" fillId="0" borderId="0" xfId="1" applyFont="1" applyFill="1"/>
    <xf numFmtId="49" fontId="4" fillId="0" borderId="1" xfId="1" applyNumberFormat="1" applyFont="1" applyFill="1" applyBorder="1" applyAlignment="1">
      <alignment horizontal="left"/>
    </xf>
    <xf numFmtId="43" fontId="4" fillId="0" borderId="1" xfId="1" applyFont="1" applyFill="1" applyBorder="1"/>
    <xf numFmtId="49" fontId="4" fillId="0" borderId="1" xfId="1" applyNumberFormat="1" applyFont="1" applyFill="1" applyBorder="1"/>
    <xf numFmtId="49" fontId="4" fillId="0" borderId="1" xfId="0" applyNumberFormat="1" applyFont="1" applyFill="1" applyBorder="1" applyAlignment="1">
      <alignment horizontal="left" shrinkToFit="1"/>
    </xf>
    <xf numFmtId="0" fontId="4" fillId="0" borderId="1" xfId="0" applyFont="1" applyFill="1" applyBorder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left" wrapText="1" shrinkToFit="1"/>
    </xf>
    <xf numFmtId="43" fontId="19" fillId="2" borderId="4" xfId="1" applyFont="1" applyFill="1" applyBorder="1" applyAlignment="1">
      <alignment wrapText="1"/>
    </xf>
    <xf numFmtId="43" fontId="8" fillId="2" borderId="2" xfId="1" applyFont="1" applyFill="1" applyBorder="1" applyAlignment="1"/>
    <xf numFmtId="43" fontId="8" fillId="2" borderId="12" xfId="1" applyFont="1" applyFill="1" applyBorder="1" applyAlignment="1"/>
    <xf numFmtId="43" fontId="19" fillId="2" borderId="4" xfId="1" applyFont="1" applyFill="1" applyBorder="1" applyAlignment="1">
      <alignment horizontal="left" vertical="center"/>
    </xf>
    <xf numFmtId="43" fontId="19" fillId="2" borderId="4" xfId="1" applyFont="1" applyFill="1" applyBorder="1" applyAlignment="1">
      <alignment horizontal="left" wrapText="1"/>
    </xf>
    <xf numFmtId="43" fontId="6" fillId="0" borderId="10" xfId="1" applyFont="1" applyFill="1" applyBorder="1" applyAlignment="1">
      <alignment horizontal="center"/>
    </xf>
    <xf numFmtId="43" fontId="6" fillId="0" borderId="9" xfId="1" applyFont="1" applyFill="1" applyBorder="1" applyAlignment="1">
      <alignment horizontal="center"/>
    </xf>
    <xf numFmtId="187" fontId="6" fillId="0" borderId="9" xfId="1" applyNumberFormat="1" applyFont="1" applyFill="1" applyBorder="1" applyAlignment="1">
      <alignment horizontal="center"/>
    </xf>
    <xf numFmtId="187" fontId="6" fillId="0" borderId="11" xfId="1" applyNumberFormat="1" applyFont="1" applyFill="1" applyBorder="1"/>
    <xf numFmtId="188" fontId="4" fillId="0" borderId="1" xfId="1" applyNumberFormat="1" applyFont="1" applyFill="1" applyBorder="1" applyAlignment="1">
      <alignment horizontal="right"/>
    </xf>
    <xf numFmtId="43" fontId="4" fillId="0" borderId="1" xfId="1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 vertical="top"/>
    </xf>
    <xf numFmtId="187" fontId="4" fillId="0" borderId="1" xfId="1" applyNumberFormat="1" applyFont="1" applyFill="1" applyBorder="1" applyAlignment="1">
      <alignment vertical="center"/>
    </xf>
    <xf numFmtId="43" fontId="4" fillId="0" borderId="1" xfId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 wrapText="1" shrinkToFit="1"/>
    </xf>
    <xf numFmtId="49" fontId="4" fillId="0" borderId="9" xfId="0" applyNumberFormat="1" applyFont="1" applyFill="1" applyBorder="1" applyAlignment="1">
      <alignment horizontal="left" wrapText="1" shrinkToFit="1"/>
    </xf>
    <xf numFmtId="187" fontId="4" fillId="0" borderId="9" xfId="1" applyNumberFormat="1" applyFont="1" applyFill="1" applyBorder="1" applyAlignment="1">
      <alignment vertical="center"/>
    </xf>
    <xf numFmtId="43" fontId="4" fillId="0" borderId="9" xfId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left" wrapText="1" shrinkToFit="1"/>
    </xf>
    <xf numFmtId="0" fontId="7" fillId="0" borderId="0" xfId="0" applyFont="1" applyFill="1" applyAlignment="1"/>
    <xf numFmtId="43" fontId="6" fillId="0" borderId="1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5" fillId="0" borderId="0" xfId="0" applyFont="1" applyFill="1"/>
    <xf numFmtId="43" fontId="6" fillId="0" borderId="1" xfId="1" applyFont="1" applyFill="1" applyBorder="1" applyAlignment="1">
      <alignment vertical="center"/>
    </xf>
    <xf numFmtId="187" fontId="4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21" fillId="2" borderId="4" xfId="1" applyFont="1" applyFill="1" applyBorder="1" applyAlignment="1">
      <alignment wrapText="1"/>
    </xf>
    <xf numFmtId="43" fontId="6" fillId="2" borderId="4" xfId="1" applyFont="1" applyFill="1" applyBorder="1" applyAlignment="1">
      <alignment vertical="center"/>
    </xf>
    <xf numFmtId="43" fontId="8" fillId="2" borderId="4" xfId="1" applyFont="1" applyFill="1" applyBorder="1" applyAlignment="1">
      <alignment vertical="center"/>
    </xf>
    <xf numFmtId="43" fontId="4" fillId="2" borderId="4" xfId="1" applyFont="1" applyFill="1" applyBorder="1" applyAlignment="1">
      <alignment vertical="center"/>
    </xf>
    <xf numFmtId="41" fontId="2" fillId="2" borderId="9" xfId="1" applyNumberFormat="1" applyFont="1" applyFill="1" applyBorder="1"/>
    <xf numFmtId="43" fontId="16" fillId="2" borderId="0" xfId="1" applyFont="1" applyFill="1"/>
    <xf numFmtId="0" fontId="16" fillId="2" borderId="0" xfId="0" applyFont="1" applyFill="1"/>
    <xf numFmtId="0" fontId="4" fillId="2" borderId="12" xfId="0" applyFont="1" applyFill="1" applyBorder="1"/>
    <xf numFmtId="43" fontId="6" fillId="0" borderId="9" xfId="1" applyFont="1" applyFill="1" applyBorder="1" applyAlignment="1">
      <alignment horizontal="center"/>
    </xf>
    <xf numFmtId="43" fontId="4" fillId="0" borderId="11" xfId="1" applyFont="1" applyFill="1" applyBorder="1"/>
    <xf numFmtId="43" fontId="6" fillId="0" borderId="1" xfId="0" applyNumberFormat="1" applyFont="1" applyFill="1" applyBorder="1"/>
    <xf numFmtId="43" fontId="22" fillId="0" borderId="0" xfId="1" applyFont="1" applyFill="1"/>
    <xf numFmtId="0" fontId="15" fillId="0" borderId="9" xfId="0" applyFont="1" applyFill="1" applyBorder="1" applyAlignment="1"/>
    <xf numFmtId="0" fontId="15" fillId="0" borderId="9" xfId="0" applyFont="1" applyFill="1" applyBorder="1" applyAlignment="1">
      <alignment horizontal="center"/>
    </xf>
    <xf numFmtId="0" fontId="15" fillId="0" borderId="10" xfId="0" applyFont="1" applyFill="1" applyBorder="1" applyAlignment="1"/>
    <xf numFmtId="43" fontId="6" fillId="0" borderId="10" xfId="1" applyFont="1" applyFill="1" applyBorder="1"/>
    <xf numFmtId="43" fontId="6" fillId="0" borderId="0" xfId="1" applyFont="1" applyFill="1" applyBorder="1"/>
    <xf numFmtId="0" fontId="6" fillId="0" borderId="10" xfId="0" applyFont="1" applyFill="1" applyBorder="1"/>
    <xf numFmtId="43" fontId="22" fillId="0" borderId="10" xfId="1" applyFont="1" applyFill="1" applyBorder="1"/>
    <xf numFmtId="49" fontId="6" fillId="0" borderId="9" xfId="1" applyNumberFormat="1" applyFont="1" applyFill="1" applyBorder="1" applyAlignment="1">
      <alignment horizontal="center"/>
    </xf>
    <xf numFmtId="49" fontId="6" fillId="0" borderId="0" xfId="0" applyNumberFormat="1" applyFont="1" applyFill="1"/>
    <xf numFmtId="43" fontId="4" fillId="0" borderId="11" xfId="0" applyNumberFormat="1" applyFont="1" applyFill="1" applyBorder="1" applyAlignment="1"/>
    <xf numFmtId="43" fontId="4" fillId="0" borderId="11" xfId="1" applyNumberFormat="1" applyFont="1" applyFill="1" applyBorder="1"/>
    <xf numFmtId="43" fontId="6" fillId="0" borderId="11" xfId="1" applyNumberFormat="1" applyFont="1" applyFill="1" applyBorder="1" applyAlignment="1">
      <alignment horizontal="center"/>
    </xf>
    <xf numFmtId="43" fontId="6" fillId="0" borderId="11" xfId="0" applyNumberFormat="1" applyFont="1" applyFill="1" applyBorder="1"/>
    <xf numFmtId="43" fontId="4" fillId="0" borderId="11" xfId="0" applyNumberFormat="1" applyFont="1" applyFill="1" applyBorder="1"/>
    <xf numFmtId="43" fontId="4" fillId="0" borderId="11" xfId="0" applyNumberFormat="1" applyFont="1" applyFill="1" applyBorder="1" applyAlignment="1">
      <alignment horizontal="center"/>
    </xf>
    <xf numFmtId="190" fontId="6" fillId="0" borderId="1" xfId="1" applyNumberFormat="1" applyFont="1" applyFill="1" applyBorder="1"/>
    <xf numFmtId="49" fontId="12" fillId="0" borderId="1" xfId="0" applyNumberFormat="1" applyFont="1" applyFill="1" applyBorder="1" applyAlignment="1">
      <alignment vertical="center" wrapText="1"/>
    </xf>
    <xf numFmtId="43" fontId="12" fillId="0" borderId="1" xfId="1" applyFont="1" applyFill="1" applyBorder="1"/>
    <xf numFmtId="49" fontId="12" fillId="0" borderId="1" xfId="0" applyNumberFormat="1" applyFont="1" applyFill="1" applyBorder="1" applyAlignment="1">
      <alignment wrapText="1"/>
    </xf>
    <xf numFmtId="49" fontId="12" fillId="0" borderId="1" xfId="0" applyNumberFormat="1" applyFont="1" applyFill="1" applyBorder="1" applyAlignment="1"/>
    <xf numFmtId="0" fontId="12" fillId="0" borderId="1" xfId="0" applyFont="1" applyFill="1" applyBorder="1" applyAlignment="1"/>
    <xf numFmtId="0" fontId="12" fillId="0" borderId="1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center"/>
    </xf>
    <xf numFmtId="43" fontId="6" fillId="0" borderId="17" xfId="1" applyFont="1" applyFill="1" applyBorder="1"/>
    <xf numFmtId="43" fontId="6" fillId="0" borderId="17" xfId="0" applyNumberFormat="1" applyFont="1" applyFill="1" applyBorder="1"/>
    <xf numFmtId="43" fontId="11" fillId="0" borderId="0" xfId="1" applyFont="1" applyFill="1"/>
    <xf numFmtId="0" fontId="2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49" fontId="23" fillId="0" borderId="1" xfId="0" applyNumberFormat="1" applyFont="1" applyFill="1" applyBorder="1" applyAlignment="1">
      <alignment horizontal="left" wrapText="1"/>
    </xf>
    <xf numFmtId="49" fontId="24" fillId="0" borderId="1" xfId="0" applyNumberFormat="1" applyFont="1" applyFill="1" applyBorder="1" applyAlignment="1">
      <alignment wrapText="1"/>
    </xf>
    <xf numFmtId="49" fontId="3" fillId="0" borderId="0" xfId="0" applyNumberFormat="1" applyFont="1" applyFill="1" applyAlignment="1"/>
    <xf numFmtId="49" fontId="6" fillId="0" borderId="0" xfId="0" applyNumberFormat="1" applyFont="1" applyFill="1" applyAlignment="1"/>
    <xf numFmtId="49" fontId="6" fillId="0" borderId="9" xfId="0" applyNumberFormat="1" applyFont="1" applyFill="1" applyBorder="1" applyAlignment="1"/>
    <xf numFmtId="49" fontId="6" fillId="0" borderId="10" xfId="0" applyNumberFormat="1" applyFont="1" applyFill="1" applyBorder="1" applyAlignment="1">
      <alignment horizontal="center"/>
    </xf>
    <xf numFmtId="49" fontId="6" fillId="0" borderId="10" xfId="0" applyNumberFormat="1" applyFont="1" applyFill="1" applyBorder="1" applyAlignment="1"/>
    <xf numFmtId="187" fontId="6" fillId="0" borderId="0" xfId="0" applyNumberFormat="1" applyFont="1" applyFill="1"/>
    <xf numFmtId="49" fontId="6" fillId="0" borderId="10" xfId="1" applyNumberFormat="1" applyFont="1" applyFill="1" applyBorder="1" applyAlignment="1">
      <alignment horizontal="center"/>
    </xf>
    <xf numFmtId="49" fontId="6" fillId="0" borderId="0" xfId="1" applyNumberFormat="1" applyFont="1" applyFill="1" applyBorder="1" applyAlignment="1">
      <alignment horizontal="center"/>
    </xf>
    <xf numFmtId="49" fontId="6" fillId="0" borderId="0" xfId="1" applyNumberFormat="1" applyFont="1" applyFill="1"/>
    <xf numFmtId="49" fontId="6" fillId="0" borderId="11" xfId="0" applyNumberFormat="1" applyFont="1" applyFill="1" applyBorder="1" applyAlignment="1"/>
    <xf numFmtId="49" fontId="6" fillId="0" borderId="11" xfId="1" applyNumberFormat="1" applyFont="1" applyFill="1" applyBorder="1" applyAlignment="1">
      <alignment horizontal="center"/>
    </xf>
    <xf numFmtId="49" fontId="6" fillId="0" borderId="0" xfId="1" applyNumberFormat="1" applyFont="1" applyFill="1" applyBorder="1"/>
    <xf numFmtId="49" fontId="6" fillId="0" borderId="11" xfId="1" applyNumberFormat="1" applyFont="1" applyFill="1" applyBorder="1"/>
    <xf numFmtId="49" fontId="6" fillId="0" borderId="1" xfId="1" applyNumberFormat="1" applyFont="1" applyFill="1" applyBorder="1" applyAlignment="1">
      <alignment horizontal="left"/>
    </xf>
    <xf numFmtId="49" fontId="4" fillId="0" borderId="10" xfId="0" applyNumberFormat="1" applyFont="1" applyFill="1" applyBorder="1" applyAlignment="1"/>
    <xf numFmtId="43" fontId="4" fillId="0" borderId="10" xfId="1" applyFont="1" applyFill="1" applyBorder="1"/>
    <xf numFmtId="43" fontId="4" fillId="0" borderId="8" xfId="1" applyFont="1" applyFill="1" applyBorder="1"/>
    <xf numFmtId="49" fontId="6" fillId="0" borderId="6" xfId="0" applyNumberFormat="1" applyFont="1" applyFill="1" applyBorder="1" applyAlignment="1">
      <alignment horizontal="center"/>
    </xf>
    <xf numFmtId="49" fontId="25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Alignment="1"/>
    <xf numFmtId="43" fontId="19" fillId="0" borderId="0" xfId="1" applyFont="1" applyFill="1"/>
    <xf numFmtId="0" fontId="25" fillId="0" borderId="0" xfId="0" applyFont="1" applyFill="1" applyBorder="1" applyAlignment="1">
      <alignment wrapText="1"/>
    </xf>
    <xf numFmtId="49" fontId="8" fillId="0" borderId="0" xfId="0" applyNumberFormat="1" applyFont="1" applyFill="1" applyAlignment="1"/>
    <xf numFmtId="49" fontId="27" fillId="0" borderId="1" xfId="0" applyNumberFormat="1" applyFont="1" applyFill="1" applyBorder="1" applyAlignment="1">
      <alignment horizontal="left" wrapText="1"/>
    </xf>
    <xf numFmtId="49" fontId="26" fillId="0" borderId="1" xfId="0" applyNumberFormat="1" applyFont="1" applyFill="1" applyBorder="1" applyAlignment="1">
      <alignment wrapText="1"/>
    </xf>
    <xf numFmtId="0" fontId="2" fillId="2" borderId="0" xfId="0" applyFont="1" applyFill="1" applyAlignment="1">
      <alignment horizontal="center"/>
    </xf>
    <xf numFmtId="0" fontId="6" fillId="0" borderId="0" xfId="0" applyFont="1" applyBorder="1"/>
    <xf numFmtId="43" fontId="6" fillId="0" borderId="0" xfId="0" applyNumberFormat="1" applyFont="1" applyBorder="1"/>
    <xf numFmtId="0" fontId="28" fillId="0" borderId="0" xfId="0" applyFont="1"/>
    <xf numFmtId="43" fontId="21" fillId="0" borderId="0" xfId="1" applyFont="1"/>
    <xf numFmtId="0" fontId="21" fillId="0" borderId="0" xfId="0" applyFont="1"/>
    <xf numFmtId="43" fontId="21" fillId="0" borderId="0" xfId="0" applyNumberFormat="1" applyFont="1" applyFill="1"/>
    <xf numFmtId="43" fontId="21" fillId="0" borderId="0" xfId="1" applyFont="1" applyFill="1"/>
    <xf numFmtId="4" fontId="28" fillId="0" borderId="0" xfId="0" applyNumberFormat="1" applyFont="1"/>
    <xf numFmtId="43" fontId="28" fillId="0" borderId="0" xfId="1" applyFont="1"/>
    <xf numFmtId="43" fontId="28" fillId="0" borderId="0" xfId="1" applyFont="1" applyFill="1"/>
    <xf numFmtId="0" fontId="21" fillId="0" borderId="0" xfId="0" applyFont="1" applyFill="1"/>
    <xf numFmtId="0" fontId="29" fillId="0" borderId="0" xfId="0" applyFont="1" applyAlignment="1">
      <alignment horizontal="justify" vertical="center"/>
    </xf>
    <xf numFmtId="43" fontId="28" fillId="0" borderId="0" xfId="1" applyFont="1" applyBorder="1" applyAlignment="1">
      <alignment horizontal="justify" vertical="center"/>
    </xf>
    <xf numFmtId="43" fontId="28" fillId="0" borderId="0" xfId="0" applyNumberFormat="1" applyFont="1" applyBorder="1" applyAlignment="1">
      <alignment horizontal="justify" vertical="center"/>
    </xf>
    <xf numFmtId="43" fontId="28" fillId="0" borderId="0" xfId="0" applyNumberFormat="1" applyFont="1" applyAlignment="1">
      <alignment horizontal="justify" vertical="center"/>
    </xf>
    <xf numFmtId="43" fontId="28" fillId="0" borderId="0" xfId="0" applyNumberFormat="1" applyFont="1" applyAlignment="1">
      <alignment horizontal="justify"/>
    </xf>
    <xf numFmtId="0" fontId="28" fillId="0" borderId="0" xfId="0" applyFont="1" applyAlignment="1">
      <alignment horizontal="justify"/>
    </xf>
    <xf numFmtId="43" fontId="21" fillId="0" borderId="0" xfId="1" applyFont="1" applyFill="1" applyBorder="1" applyAlignment="1">
      <alignment horizontal="justify"/>
    </xf>
    <xf numFmtId="43" fontId="28" fillId="0" borderId="0" xfId="1" applyFont="1" applyFill="1" applyAlignment="1">
      <alignment horizontal="justify"/>
    </xf>
    <xf numFmtId="0" fontId="21" fillId="0" borderId="0" xfId="0" applyFont="1" applyFill="1" applyBorder="1" applyAlignment="1">
      <alignment wrapText="1"/>
    </xf>
    <xf numFmtId="43" fontId="21" fillId="0" borderId="0" xfId="0" applyNumberFormat="1" applyFont="1" applyAlignment="1">
      <alignment horizontal="justify" vertical="center"/>
    </xf>
    <xf numFmtId="43" fontId="21" fillId="0" borderId="0" xfId="1" applyFont="1" applyBorder="1" applyAlignment="1">
      <alignment horizontal="justify" vertical="center"/>
    </xf>
    <xf numFmtId="43" fontId="21" fillId="0" borderId="0" xfId="0" applyNumberFormat="1" applyFont="1" applyBorder="1" applyAlignment="1">
      <alignment horizontal="justify" vertical="center"/>
    </xf>
    <xf numFmtId="43" fontId="30" fillId="0" borderId="0" xfId="1" applyFont="1" applyFill="1" applyBorder="1" applyAlignment="1">
      <alignment horizontal="right" wrapText="1"/>
    </xf>
    <xf numFmtId="43" fontId="21" fillId="0" borderId="0" xfId="0" applyNumberFormat="1" applyFont="1" applyAlignment="1">
      <alignment horizontal="justify"/>
    </xf>
    <xf numFmtId="0" fontId="21" fillId="0" borderId="0" xfId="0" applyFont="1" applyAlignment="1">
      <alignment horizontal="justify"/>
    </xf>
    <xf numFmtId="43" fontId="21" fillId="0" borderId="0" xfId="1" applyFont="1" applyFill="1" applyAlignment="1">
      <alignment horizontal="justify"/>
    </xf>
    <xf numFmtId="0" fontId="21" fillId="0" borderId="0" xfId="0" applyFont="1" applyFill="1" applyAlignment="1">
      <alignment horizontal="justify"/>
    </xf>
    <xf numFmtId="43" fontId="21" fillId="0" borderId="0" xfId="0" applyNumberFormat="1" applyFont="1" applyBorder="1" applyAlignment="1">
      <alignment horizontal="justify"/>
    </xf>
    <xf numFmtId="43" fontId="21" fillId="0" borderId="0" xfId="0" applyNumberFormat="1" applyFont="1" applyBorder="1" applyAlignment="1">
      <alignment horizontal="justify" vertical="top"/>
    </xf>
    <xf numFmtId="0" fontId="21" fillId="0" borderId="0" xfId="0" applyFont="1" applyAlignment="1">
      <alignment horizontal="justify" vertical="top"/>
    </xf>
    <xf numFmtId="0" fontId="21" fillId="0" borderId="0" xfId="0" applyFont="1" applyFill="1" applyAlignment="1">
      <alignment horizontal="justify" vertical="top"/>
    </xf>
    <xf numFmtId="43" fontId="21" fillId="0" borderId="0" xfId="1" applyFont="1" applyFill="1" applyAlignment="1">
      <alignment horizontal="justify" vertical="top"/>
    </xf>
    <xf numFmtId="43" fontId="28" fillId="0" borderId="0" xfId="0" applyNumberFormat="1" applyFont="1" applyAlignment="1">
      <alignment horizontal="justify" vertical="top"/>
    </xf>
    <xf numFmtId="0" fontId="28" fillId="0" borderId="0" xfId="0" applyFont="1" applyAlignment="1">
      <alignment horizontal="justify" vertical="top"/>
    </xf>
    <xf numFmtId="43" fontId="28" fillId="0" borderId="0" xfId="0" applyNumberFormat="1" applyFont="1" applyFill="1" applyAlignment="1">
      <alignment horizontal="justify" vertical="top"/>
    </xf>
    <xf numFmtId="43" fontId="28" fillId="0" borderId="0" xfId="1" applyFont="1" applyFill="1" applyAlignment="1">
      <alignment horizontal="justify" vertical="top"/>
    </xf>
    <xf numFmtId="43" fontId="21" fillId="0" borderId="0" xfId="0" applyNumberFormat="1" applyFont="1" applyAlignment="1">
      <alignment horizontal="justify" vertical="top"/>
    </xf>
    <xf numFmtId="43" fontId="21" fillId="0" borderId="0" xfId="0" applyNumberFormat="1" applyFont="1" applyFill="1" applyAlignment="1">
      <alignment horizontal="justify" vertical="top"/>
    </xf>
    <xf numFmtId="43" fontId="21" fillId="0" borderId="0" xfId="1" applyFont="1" applyBorder="1" applyAlignment="1">
      <alignment horizontal="center" vertical="center"/>
    </xf>
    <xf numFmtId="43" fontId="21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justify" vertical="center"/>
    </xf>
    <xf numFmtId="43" fontId="21" fillId="0" borderId="0" xfId="0" applyNumberFormat="1" applyFont="1" applyFill="1" applyAlignment="1">
      <alignment horizontal="justify" vertical="center"/>
    </xf>
    <xf numFmtId="43" fontId="21" fillId="0" borderId="0" xfId="1" applyFont="1" applyFill="1" applyAlignment="1">
      <alignment horizontal="justify" vertical="center"/>
    </xf>
    <xf numFmtId="43" fontId="21" fillId="0" borderId="0" xfId="1" applyFont="1" applyFill="1" applyBorder="1" applyAlignment="1">
      <alignment horizontal="right" wrapText="1"/>
    </xf>
    <xf numFmtId="43" fontId="28" fillId="0" borderId="0" xfId="0" applyNumberFormat="1" applyFont="1"/>
    <xf numFmtId="43" fontId="28" fillId="0" borderId="0" xfId="0" applyNumberFormat="1" applyFont="1" applyFill="1"/>
    <xf numFmtId="49" fontId="28" fillId="0" borderId="0" xfId="0" applyNumberFormat="1" applyFont="1"/>
    <xf numFmtId="43" fontId="28" fillId="0" borderId="0" xfId="1" applyFont="1" applyBorder="1"/>
    <xf numFmtId="43" fontId="28" fillId="0" borderId="7" xfId="0" applyNumberFormat="1" applyFont="1" applyBorder="1"/>
    <xf numFmtId="43" fontId="21" fillId="0" borderId="0" xfId="0" applyNumberFormat="1" applyFont="1"/>
    <xf numFmtId="0" fontId="6" fillId="2" borderId="0" xfId="0" applyFont="1" applyFill="1" applyAlignment="1"/>
    <xf numFmtId="0" fontId="6" fillId="2" borderId="10" xfId="0" applyFont="1" applyFill="1" applyBorder="1" applyAlignment="1">
      <alignment horizontal="center"/>
    </xf>
    <xf numFmtId="43" fontId="10" fillId="2" borderId="0" xfId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87" fontId="10" fillId="2" borderId="0" xfId="1" applyNumberFormat="1" applyFont="1" applyFill="1"/>
    <xf numFmtId="187" fontId="10" fillId="2" borderId="0" xfId="0" applyNumberFormat="1" applyFont="1" applyFill="1"/>
    <xf numFmtId="43" fontId="4" fillId="2" borderId="1" xfId="1" applyFont="1" applyFill="1" applyBorder="1" applyAlignment="1">
      <alignment horizontal="center"/>
    </xf>
    <xf numFmtId="43" fontId="6" fillId="2" borderId="1" xfId="0" applyNumberFormat="1" applyFont="1" applyFill="1" applyBorder="1"/>
    <xf numFmtId="0" fontId="6" fillId="2" borderId="6" xfId="0" applyFont="1" applyFill="1" applyBorder="1" applyAlignment="1">
      <alignment horizontal="center"/>
    </xf>
    <xf numFmtId="43" fontId="6" fillId="2" borderId="6" xfId="1" applyFont="1" applyFill="1" applyBorder="1"/>
    <xf numFmtId="0" fontId="4" fillId="2" borderId="0" xfId="0" applyFont="1" applyFill="1" applyAlignment="1"/>
    <xf numFmtId="187" fontId="4" fillId="2" borderId="4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43" fontId="12" fillId="2" borderId="4" xfId="1" applyFont="1" applyFill="1" applyBorder="1" applyAlignment="1">
      <alignment vertical="center"/>
    </xf>
    <xf numFmtId="43" fontId="16" fillId="2" borderId="4" xfId="1" applyFont="1" applyFill="1" applyBorder="1" applyAlignment="1">
      <alignment vertical="center"/>
    </xf>
    <xf numFmtId="187" fontId="12" fillId="2" borderId="4" xfId="1" applyNumberFormat="1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 wrapText="1"/>
    </xf>
    <xf numFmtId="0" fontId="9" fillId="2" borderId="0" xfId="0" applyFont="1" applyFill="1" applyAlignment="1"/>
    <xf numFmtId="0" fontId="2" fillId="2" borderId="0" xfId="0" applyFont="1" applyFill="1" applyAlignment="1"/>
    <xf numFmtId="187" fontId="9" fillId="2" borderId="0" xfId="1" applyNumberFormat="1" applyFont="1" applyFill="1" applyAlignment="1"/>
    <xf numFmtId="0" fontId="3" fillId="2" borderId="0" xfId="0" applyFont="1" applyFill="1" applyAlignment="1"/>
    <xf numFmtId="187" fontId="2" fillId="2" borderId="0" xfId="1" applyNumberFormat="1" applyFont="1" applyFill="1" applyAlignment="1"/>
    <xf numFmtId="0" fontId="7" fillId="2" borderId="0" xfId="0" applyFont="1" applyFill="1" applyAlignment="1"/>
    <xf numFmtId="187" fontId="6" fillId="2" borderId="0" xfId="1" applyNumberFormat="1" applyFont="1" applyFill="1" applyAlignment="1"/>
    <xf numFmtId="0" fontId="20" fillId="2" borderId="0" xfId="0" applyFont="1" applyFill="1" applyAlignment="1"/>
    <xf numFmtId="43" fontId="2" fillId="2" borderId="9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187" fontId="6" fillId="2" borderId="10" xfId="1" applyNumberFormat="1" applyFont="1" applyFill="1" applyBorder="1" applyAlignment="1">
      <alignment horizontal="center"/>
    </xf>
    <xf numFmtId="43" fontId="2" fillId="2" borderId="10" xfId="1" applyFont="1" applyFill="1" applyBorder="1" applyAlignment="1">
      <alignment horizontal="center"/>
    </xf>
    <xf numFmtId="43" fontId="2" fillId="2" borderId="10" xfId="0" applyNumberFormat="1" applyFont="1" applyFill="1" applyBorder="1" applyAlignment="1">
      <alignment horizontal="center"/>
    </xf>
    <xf numFmtId="187" fontId="6" fillId="2" borderId="9" xfId="1" applyNumberFormat="1" applyFont="1" applyFill="1" applyBorder="1" applyAlignment="1">
      <alignment horizontal="center"/>
    </xf>
    <xf numFmtId="43" fontId="6" fillId="2" borderId="9" xfId="1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" fillId="2" borderId="1" xfId="0" applyFont="1" applyFill="1" applyBorder="1" applyAlignment="1"/>
    <xf numFmtId="43" fontId="4" fillId="2" borderId="1" xfId="1" applyFont="1" applyFill="1" applyBorder="1" applyAlignment="1"/>
    <xf numFmtId="43" fontId="6" fillId="2" borderId="1" xfId="1" applyFont="1" applyFill="1" applyBorder="1" applyAlignment="1"/>
    <xf numFmtId="187" fontId="4" fillId="2" borderId="1" xfId="1" applyNumberFormat="1" applyFont="1" applyFill="1" applyBorder="1" applyAlignment="1"/>
    <xf numFmtId="0" fontId="4" fillId="2" borderId="1" xfId="0" applyFont="1" applyFill="1" applyBorder="1" applyAlignment="1">
      <alignment horizontal="center"/>
    </xf>
    <xf numFmtId="43" fontId="12" fillId="2" borderId="1" xfId="1" applyNumberFormat="1" applyFont="1" applyFill="1" applyBorder="1" applyAlignment="1">
      <alignment horizontal="right" vertical="center"/>
    </xf>
    <xf numFmtId="43" fontId="6" fillId="2" borderId="1" xfId="1" applyNumberFormat="1" applyFont="1" applyFill="1" applyBorder="1" applyAlignment="1"/>
    <xf numFmtId="43" fontId="12" fillId="2" borderId="1" xfId="1" applyFont="1" applyFill="1" applyBorder="1" applyAlignment="1">
      <alignment horizontal="right" vertical="center"/>
    </xf>
    <xf numFmtId="187" fontId="4" fillId="2" borderId="1" xfId="1" applyNumberFormat="1" applyFont="1" applyFill="1" applyBorder="1" applyAlignment="1">
      <alignment horizontal="center"/>
    </xf>
    <xf numFmtId="43" fontId="12" fillId="2" borderId="1" xfId="1" applyFont="1" applyFill="1" applyBorder="1" applyAlignment="1">
      <alignment horizontal="right" vertical="center" shrinkToFit="1"/>
    </xf>
    <xf numFmtId="43" fontId="4" fillId="2" borderId="9" xfId="1" applyFont="1" applyFill="1" applyBorder="1" applyAlignment="1"/>
    <xf numFmtId="43" fontId="6" fillId="2" borderId="9" xfId="1" applyFont="1" applyFill="1" applyBorder="1" applyAlignment="1"/>
    <xf numFmtId="187" fontId="4" fillId="2" borderId="9" xfId="1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0" xfId="0" applyFont="1" applyFill="1" applyBorder="1" applyAlignment="1"/>
    <xf numFmtId="43" fontId="4" fillId="2" borderId="11" xfId="1" applyFont="1" applyFill="1" applyBorder="1" applyAlignment="1"/>
    <xf numFmtId="43" fontId="6" fillId="2" borderId="11" xfId="1" applyFont="1" applyFill="1" applyBorder="1" applyAlignment="1"/>
    <xf numFmtId="187" fontId="4" fillId="2" borderId="11" xfId="1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43" fontId="12" fillId="2" borderId="1" xfId="1" applyFont="1" applyFill="1" applyBorder="1" applyAlignment="1">
      <alignment horizontal="right" vertical="center" wrapText="1" shrinkToFit="1"/>
    </xf>
    <xf numFmtId="43" fontId="6" fillId="2" borderId="1" xfId="1" applyFont="1" applyFill="1" applyBorder="1" applyAlignment="1">
      <alignment horizontal="center" vertical="center"/>
    </xf>
    <xf numFmtId="187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3" fontId="4" fillId="2" borderId="1" xfId="1" applyFont="1" applyFill="1" applyBorder="1" applyAlignment="1">
      <alignment vertical="center"/>
    </xf>
    <xf numFmtId="43" fontId="6" fillId="2" borderId="1" xfId="1" applyFont="1" applyFill="1" applyBorder="1" applyAlignment="1">
      <alignment vertical="center"/>
    </xf>
    <xf numFmtId="0" fontId="4" fillId="2" borderId="1" xfId="1" applyNumberFormat="1" applyFont="1" applyFill="1" applyBorder="1" applyAlignment="1"/>
    <xf numFmtId="43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left"/>
    </xf>
    <xf numFmtId="43" fontId="9" fillId="2" borderId="1" xfId="1" applyFont="1" applyFill="1" applyBorder="1" applyAlignment="1"/>
    <xf numFmtId="0" fontId="4" fillId="2" borderId="1" xfId="0" applyFont="1" applyFill="1" applyBorder="1" applyAlignment="1">
      <alignment horizontal="center" wrapText="1" shrinkToFit="1"/>
    </xf>
    <xf numFmtId="0" fontId="4" fillId="2" borderId="1" xfId="0" applyFont="1" applyFill="1" applyBorder="1" applyAlignment="1">
      <alignment horizontal="center" wrapText="1"/>
    </xf>
    <xf numFmtId="189" fontId="4" fillId="2" borderId="1" xfId="1" applyNumberFormat="1" applyFont="1" applyFill="1" applyBorder="1" applyAlignment="1">
      <alignment wrapText="1"/>
    </xf>
    <xf numFmtId="41" fontId="4" fillId="2" borderId="9" xfId="1" applyNumberFormat="1" applyFont="1" applyFill="1" applyBorder="1" applyAlignment="1"/>
    <xf numFmtId="43" fontId="4" fillId="2" borderId="9" xfId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wrapText="1" shrinkToFit="1"/>
    </xf>
    <xf numFmtId="43" fontId="6" fillId="2" borderId="6" xfId="1" applyFont="1" applyFill="1" applyBorder="1" applyAlignment="1"/>
    <xf numFmtId="187" fontId="6" fillId="2" borderId="6" xfId="1" applyNumberFormat="1" applyFont="1" applyFill="1" applyBorder="1" applyAlignment="1"/>
    <xf numFmtId="43" fontId="4" fillId="2" borderId="0" xfId="1" applyFont="1" applyFill="1" applyAlignment="1"/>
    <xf numFmtId="43" fontId="4" fillId="2" borderId="0" xfId="1" applyNumberFormat="1" applyFont="1" applyFill="1" applyAlignment="1"/>
    <xf numFmtId="187" fontId="4" fillId="2" borderId="0" xfId="1" applyNumberFormat="1" applyFont="1" applyFill="1" applyAlignment="1"/>
    <xf numFmtId="43" fontId="4" fillId="2" borderId="0" xfId="0" applyNumberFormat="1" applyFont="1" applyFill="1" applyAlignment="1"/>
    <xf numFmtId="0" fontId="6" fillId="2" borderId="9" xfId="0" applyFont="1" applyFill="1" applyBorder="1" applyAlignment="1">
      <alignment horizontal="center"/>
    </xf>
    <xf numFmtId="43" fontId="6" fillId="2" borderId="9" xfId="1" applyFont="1" applyFill="1" applyBorder="1" applyAlignment="1">
      <alignment horizontal="center"/>
    </xf>
    <xf numFmtId="187" fontId="2" fillId="2" borderId="0" xfId="1" applyNumberFormat="1" applyFont="1" applyFill="1"/>
    <xf numFmtId="43" fontId="2" fillId="2" borderId="0" xfId="1" applyNumberFormat="1" applyFont="1" applyFill="1"/>
    <xf numFmtId="0" fontId="7" fillId="2" borderId="0" xfId="0" applyFont="1" applyFill="1"/>
    <xf numFmtId="187" fontId="6" fillId="2" borderId="0" xfId="1" applyNumberFormat="1" applyFont="1" applyFill="1"/>
    <xf numFmtId="43" fontId="6" fillId="2" borderId="0" xfId="1" applyNumberFormat="1" applyFont="1" applyFill="1"/>
    <xf numFmtId="0" fontId="15" fillId="2" borderId="0" xfId="0" applyFont="1" applyFill="1"/>
    <xf numFmtId="43" fontId="6" fillId="2" borderId="9" xfId="1" applyNumberFormat="1" applyFont="1" applyFill="1" applyBorder="1" applyAlignment="1">
      <alignment horizontal="center"/>
    </xf>
    <xf numFmtId="43" fontId="6" fillId="2" borderId="10" xfId="1" applyNumberFormat="1" applyFont="1" applyFill="1" applyBorder="1" applyAlignment="1">
      <alignment horizontal="center"/>
    </xf>
    <xf numFmtId="43" fontId="6" fillId="2" borderId="10" xfId="0" applyNumberFormat="1" applyFont="1" applyFill="1" applyBorder="1" applyAlignment="1">
      <alignment horizontal="center"/>
    </xf>
    <xf numFmtId="43" fontId="4" fillId="2" borderId="10" xfId="1" applyFont="1" applyFill="1" applyBorder="1" applyAlignment="1">
      <alignment horizontal="center"/>
    </xf>
    <xf numFmtId="0" fontId="4" fillId="2" borderId="11" xfId="0" applyFont="1" applyFill="1" applyBorder="1"/>
    <xf numFmtId="187" fontId="4" fillId="2" borderId="11" xfId="1" applyNumberFormat="1" applyFont="1" applyFill="1" applyBorder="1"/>
    <xf numFmtId="43" fontId="4" fillId="2" borderId="11" xfId="1" applyNumberFormat="1" applyFont="1" applyFill="1" applyBorder="1" applyAlignment="1">
      <alignment horizontal="center"/>
    </xf>
    <xf numFmtId="43" fontId="4" fillId="2" borderId="11" xfId="1" applyFont="1" applyFill="1" applyBorder="1" applyAlignment="1">
      <alignment horizontal="center"/>
    </xf>
    <xf numFmtId="43" fontId="4" fillId="2" borderId="1" xfId="0" applyNumberFormat="1" applyFont="1" applyFill="1" applyBorder="1"/>
    <xf numFmtId="187" fontId="4" fillId="2" borderId="1" xfId="1" applyNumberFormat="1" applyFont="1" applyFill="1" applyBorder="1"/>
    <xf numFmtId="43" fontId="4" fillId="2" borderId="1" xfId="1" applyNumberFormat="1" applyFont="1" applyFill="1" applyBorder="1" applyAlignment="1">
      <alignment horizontal="right"/>
    </xf>
    <xf numFmtId="43" fontId="4" fillId="2" borderId="1" xfId="1" applyFont="1" applyFill="1" applyBorder="1" applyAlignment="1">
      <alignment horizontal="right"/>
    </xf>
    <xf numFmtId="43" fontId="4" fillId="2" borderId="1" xfId="1" applyFont="1" applyFill="1" applyBorder="1" applyAlignment="1">
      <alignment vertical="top"/>
    </xf>
    <xf numFmtId="43" fontId="4" fillId="2" borderId="1" xfId="0" applyNumberFormat="1" applyFont="1" applyFill="1" applyBorder="1" applyAlignment="1">
      <alignment vertical="top"/>
    </xf>
    <xf numFmtId="187" fontId="4" fillId="2" borderId="1" xfId="1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43" fontId="4" fillId="2" borderId="1" xfId="0" applyNumberFormat="1" applyFont="1" applyFill="1" applyBorder="1" applyAlignment="1">
      <alignment vertical="center"/>
    </xf>
    <xf numFmtId="43" fontId="4" fillId="2" borderId="1" xfId="1" applyNumberFormat="1" applyFont="1" applyFill="1" applyBorder="1" applyAlignment="1">
      <alignment horizontal="right" vertical="center"/>
    </xf>
    <xf numFmtId="43" fontId="4" fillId="2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/>
    </xf>
    <xf numFmtId="41" fontId="6" fillId="2" borderId="1" xfId="0" applyNumberFormat="1" applyFont="1" applyFill="1" applyBorder="1"/>
    <xf numFmtId="43" fontId="6" fillId="2" borderId="1" xfId="1" applyNumberFormat="1" applyFont="1" applyFill="1" applyBorder="1" applyAlignment="1">
      <alignment horizontal="right"/>
    </xf>
    <xf numFmtId="43" fontId="6" fillId="2" borderId="1" xfId="1" applyFont="1" applyFill="1" applyBorder="1" applyAlignment="1">
      <alignment horizontal="right"/>
    </xf>
    <xf numFmtId="187" fontId="4" fillId="2" borderId="0" xfId="1" applyNumberFormat="1" applyFont="1" applyFill="1"/>
    <xf numFmtId="0" fontId="4" fillId="2" borderId="0" xfId="0" applyFont="1" applyFill="1" applyAlignment="1">
      <alignment horizontal="center"/>
    </xf>
    <xf numFmtId="43" fontId="4" fillId="2" borderId="0" xfId="1" applyNumberFormat="1" applyFont="1" applyFill="1"/>
    <xf numFmtId="187" fontId="4" fillId="2" borderId="1" xfId="1" applyNumberFormat="1" applyFont="1" applyFill="1" applyBorder="1" applyAlignment="1">
      <alignment vertical="top"/>
    </xf>
    <xf numFmtId="43" fontId="4" fillId="2" borderId="1" xfId="1" applyNumberFormat="1" applyFont="1" applyFill="1" applyBorder="1"/>
    <xf numFmtId="43" fontId="12" fillId="2" borderId="1" xfId="1" applyFont="1" applyFill="1" applyBorder="1"/>
    <xf numFmtId="43" fontId="12" fillId="2" borderId="1" xfId="0" applyNumberFormat="1" applyFont="1" applyFill="1" applyBorder="1"/>
    <xf numFmtId="187" fontId="12" fillId="2" borderId="1" xfId="1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43" fontId="12" fillId="2" borderId="0" xfId="0" applyNumberFormat="1" applyFont="1" applyFill="1"/>
    <xf numFmtId="43" fontId="18" fillId="2" borderId="4" xfId="1" applyFont="1" applyFill="1" applyBorder="1" applyAlignment="1">
      <alignment wrapText="1"/>
    </xf>
    <xf numFmtId="43" fontId="6" fillId="2" borderId="1" xfId="1" applyNumberFormat="1" applyFont="1" applyFill="1" applyBorder="1" applyAlignment="1">
      <alignment vertical="center"/>
    </xf>
    <xf numFmtId="43" fontId="4" fillId="2" borderId="9" xfId="1" applyFont="1" applyFill="1" applyBorder="1" applyAlignment="1">
      <alignment vertical="center"/>
    </xf>
    <xf numFmtId="43" fontId="4" fillId="2" borderId="11" xfId="0" applyNumberFormat="1" applyFont="1" applyFill="1" applyBorder="1"/>
    <xf numFmtId="43" fontId="2" fillId="2" borderId="0" xfId="1" applyFont="1" applyFill="1" applyAlignment="1">
      <alignment horizontal="center"/>
    </xf>
    <xf numFmtId="43" fontId="3" fillId="2" borderId="0" xfId="1" applyFont="1" applyFill="1"/>
    <xf numFmtId="43" fontId="7" fillId="2" borderId="0" xfId="1" applyFont="1" applyFill="1"/>
    <xf numFmtId="43" fontId="6" fillId="2" borderId="0" xfId="1" applyFont="1" applyFill="1" applyAlignment="1">
      <alignment horizontal="center"/>
    </xf>
    <xf numFmtId="189" fontId="6" fillId="2" borderId="0" xfId="1" applyNumberFormat="1" applyFont="1" applyFill="1" applyAlignment="1">
      <alignment horizontal="center"/>
    </xf>
    <xf numFmtId="49" fontId="6" fillId="2" borderId="9" xfId="0" applyNumberFormat="1" applyFont="1" applyFill="1" applyBorder="1" applyAlignment="1">
      <alignment horizontal="center"/>
    </xf>
    <xf numFmtId="0" fontId="4" fillId="2" borderId="1" xfId="0" applyFont="1" applyFill="1" applyBorder="1"/>
    <xf numFmtId="187" fontId="9" fillId="2" borderId="1" xfId="1" applyNumberFormat="1" applyFont="1" applyFill="1" applyBorder="1"/>
    <xf numFmtId="49" fontId="4" fillId="2" borderId="1" xfId="0" applyNumberFormat="1" applyFont="1" applyFill="1" applyBorder="1" applyAlignment="1">
      <alignment horizontal="left"/>
    </xf>
    <xf numFmtId="49" fontId="8" fillId="2" borderId="1" xfId="0" applyNumberFormat="1" applyFont="1" applyFill="1" applyBorder="1" applyAlignment="1">
      <alignment horizontal="left"/>
    </xf>
    <xf numFmtId="49" fontId="8" fillId="2" borderId="1" xfId="0" applyNumberFormat="1" applyFont="1" applyFill="1" applyBorder="1" applyAlignment="1">
      <alignment horizontal="left" wrapText="1" shrinkToFit="1"/>
    </xf>
    <xf numFmtId="49" fontId="4" fillId="2" borderId="1" xfId="1" applyNumberFormat="1" applyFont="1" applyFill="1" applyBorder="1"/>
    <xf numFmtId="49" fontId="4" fillId="2" borderId="1" xfId="0" applyNumberFormat="1" applyFont="1" applyFill="1" applyBorder="1" applyAlignment="1">
      <alignment horizontal="left" shrinkToFit="1"/>
    </xf>
    <xf numFmtId="49" fontId="4" fillId="2" borderId="1" xfId="0" applyNumberFormat="1" applyFont="1" applyFill="1" applyBorder="1" applyAlignment="1">
      <alignment horizontal="left" wrapText="1" shrinkToFit="1"/>
    </xf>
    <xf numFmtId="49" fontId="4" fillId="2" borderId="9" xfId="0" applyNumberFormat="1" applyFont="1" applyFill="1" applyBorder="1" applyAlignment="1">
      <alignment horizontal="left" wrapText="1" shrinkToFit="1"/>
    </xf>
    <xf numFmtId="49" fontId="8" fillId="2" borderId="9" xfId="0" applyNumberFormat="1" applyFont="1" applyFill="1" applyBorder="1" applyAlignment="1">
      <alignment horizontal="left" wrapText="1" shrinkToFit="1"/>
    </xf>
    <xf numFmtId="187" fontId="4" fillId="2" borderId="9" xfId="1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9" fontId="4" fillId="2" borderId="9" xfId="1" applyNumberFormat="1" applyFont="1" applyFill="1" applyBorder="1"/>
    <xf numFmtId="0" fontId="4" fillId="2" borderId="6" xfId="0" applyFont="1" applyFill="1" applyBorder="1" applyAlignment="1">
      <alignment horizontal="center"/>
    </xf>
    <xf numFmtId="43" fontId="4" fillId="2" borderId="6" xfId="0" applyNumberFormat="1" applyFont="1" applyFill="1" applyBorder="1"/>
    <xf numFmtId="43" fontId="6" fillId="2" borderId="6" xfId="0" applyNumberFormat="1" applyFont="1" applyFill="1" applyBorder="1"/>
    <xf numFmtId="43" fontId="4" fillId="2" borderId="6" xfId="1" applyFont="1" applyFill="1" applyBorder="1"/>
    <xf numFmtId="43" fontId="4" fillId="2" borderId="6" xfId="1" applyNumberFormat="1" applyFont="1" applyFill="1" applyBorder="1"/>
    <xf numFmtId="43" fontId="4" fillId="2" borderId="0" xfId="1" applyFont="1" applyFill="1" applyAlignment="1">
      <alignment horizontal="center"/>
    </xf>
    <xf numFmtId="49" fontId="4" fillId="2" borderId="0" xfId="1" applyNumberFormat="1" applyFont="1" applyFill="1"/>
    <xf numFmtId="49" fontId="4" fillId="2" borderId="0" xfId="1" applyNumberFormat="1" applyFont="1" applyFill="1" applyAlignment="1">
      <alignment horizontal="left"/>
    </xf>
    <xf numFmtId="49" fontId="4" fillId="2" borderId="0" xfId="1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left"/>
    </xf>
    <xf numFmtId="49" fontId="10" fillId="2" borderId="9" xfId="0" applyNumberFormat="1" applyFont="1" applyFill="1" applyBorder="1" applyAlignment="1">
      <alignment horizontal="center"/>
    </xf>
    <xf numFmtId="43" fontId="8" fillId="2" borderId="11" xfId="1" applyFont="1" applyFill="1" applyBorder="1" applyAlignment="1">
      <alignment horizontal="center"/>
    </xf>
    <xf numFmtId="0" fontId="4" fillId="2" borderId="4" xfId="0" applyFont="1" applyFill="1" applyBorder="1" applyAlignment="1"/>
    <xf numFmtId="0" fontId="4" fillId="2" borderId="10" xfId="0" applyFont="1" applyFill="1" applyBorder="1" applyAlignment="1"/>
    <xf numFmtId="43" fontId="10" fillId="2" borderId="9" xfId="1" applyNumberFormat="1" applyFont="1" applyFill="1" applyBorder="1" applyAlignment="1">
      <alignment horizontal="center"/>
    </xf>
    <xf numFmtId="43" fontId="10" fillId="2" borderId="9" xfId="1" applyFont="1" applyFill="1" applyBorder="1" applyAlignment="1">
      <alignment horizontal="center"/>
    </xf>
    <xf numFmtId="43" fontId="8" fillId="2" borderId="11" xfId="1" applyNumberFormat="1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43" fontId="10" fillId="2" borderId="0" xfId="1" applyFont="1" applyFill="1" applyBorder="1"/>
    <xf numFmtId="0" fontId="10" fillId="2" borderId="0" xfId="0" applyFont="1" applyFill="1" applyBorder="1"/>
    <xf numFmtId="0" fontId="31" fillId="2" borderId="0" xfId="0" applyFont="1" applyFill="1" applyBorder="1" applyAlignment="1"/>
    <xf numFmtId="0" fontId="10" fillId="2" borderId="0" xfId="0" applyFont="1" applyFill="1" applyAlignment="1"/>
    <xf numFmtId="0" fontId="10" fillId="2" borderId="9" xfId="0" applyFont="1" applyFill="1" applyBorder="1" applyAlignment="1"/>
    <xf numFmtId="0" fontId="10" fillId="2" borderId="10" xfId="0" applyFont="1" applyFill="1" applyBorder="1" applyAlignment="1">
      <alignment horizontal="center"/>
    </xf>
    <xf numFmtId="43" fontId="10" fillId="2" borderId="10" xfId="1" applyFont="1" applyFill="1" applyBorder="1" applyAlignment="1">
      <alignment horizontal="center"/>
    </xf>
    <xf numFmtId="43" fontId="10" fillId="2" borderId="1" xfId="1" applyFont="1" applyFill="1" applyBorder="1" applyAlignment="1">
      <alignment horizontal="center"/>
    </xf>
    <xf numFmtId="0" fontId="10" fillId="2" borderId="10" xfId="0" applyFont="1" applyFill="1" applyBorder="1" applyAlignment="1"/>
    <xf numFmtId="43" fontId="10" fillId="2" borderId="1" xfId="1" applyFont="1" applyFill="1" applyBorder="1"/>
    <xf numFmtId="0" fontId="10" fillId="2" borderId="11" xfId="0" applyFont="1" applyFill="1" applyBorder="1" applyAlignment="1"/>
    <xf numFmtId="43" fontId="10" fillId="2" borderId="11" xfId="1" applyFont="1" applyFill="1" applyBorder="1" applyAlignment="1">
      <alignment horizontal="center"/>
    </xf>
    <xf numFmtId="0" fontId="10" fillId="2" borderId="1" xfId="0" applyFont="1" applyFill="1" applyBorder="1" applyAlignment="1">
      <alignment horizontal="left"/>
    </xf>
    <xf numFmtId="49" fontId="8" fillId="2" borderId="9" xfId="0" applyNumberFormat="1" applyFont="1" applyFill="1" applyBorder="1" applyAlignment="1"/>
    <xf numFmtId="43" fontId="18" fillId="2" borderId="9" xfId="1" applyFont="1" applyFill="1" applyBorder="1"/>
    <xf numFmtId="43" fontId="8" fillId="2" borderId="9" xfId="1" applyFont="1" applyFill="1" applyBorder="1"/>
    <xf numFmtId="43" fontId="10" fillId="2" borderId="9" xfId="0" applyNumberFormat="1" applyFont="1" applyFill="1" applyBorder="1"/>
    <xf numFmtId="43" fontId="10" fillId="2" borderId="9" xfId="1" applyFont="1" applyFill="1" applyBorder="1"/>
    <xf numFmtId="49" fontId="8" fillId="2" borderId="11" xfId="0" applyNumberFormat="1" applyFont="1" applyFill="1" applyBorder="1" applyAlignment="1"/>
    <xf numFmtId="43" fontId="8" fillId="2" borderId="11" xfId="1" applyFont="1" applyFill="1" applyBorder="1"/>
    <xf numFmtId="43" fontId="10" fillId="2" borderId="11" xfId="1" applyFont="1" applyFill="1" applyBorder="1"/>
    <xf numFmtId="4" fontId="33" fillId="2" borderId="9" xfId="0" applyNumberFormat="1" applyFont="1" applyFill="1" applyBorder="1" applyAlignment="1">
      <alignment horizontal="right" wrapText="1"/>
    </xf>
    <xf numFmtId="43" fontId="8" fillId="2" borderId="9" xfId="1" applyFont="1" applyFill="1" applyBorder="1" applyAlignment="1">
      <alignment horizontal="center"/>
    </xf>
    <xf numFmtId="0" fontId="10" fillId="2" borderId="11" xfId="0" applyFont="1" applyFill="1" applyBorder="1"/>
    <xf numFmtId="49" fontId="8" fillId="2" borderId="10" xfId="0" applyNumberFormat="1" applyFont="1" applyFill="1" applyBorder="1" applyAlignment="1"/>
    <xf numFmtId="43" fontId="8" fillId="2" borderId="10" xfId="1" applyFont="1" applyFill="1" applyBorder="1"/>
    <xf numFmtId="0" fontId="10" fillId="2" borderId="10" xfId="0" applyFont="1" applyFill="1" applyBorder="1"/>
    <xf numFmtId="43" fontId="10" fillId="2" borderId="10" xfId="1" applyFont="1" applyFill="1" applyBorder="1"/>
    <xf numFmtId="43" fontId="10" fillId="2" borderId="11" xfId="0" applyNumberFormat="1" applyFont="1" applyFill="1" applyBorder="1"/>
    <xf numFmtId="0" fontId="10" fillId="2" borderId="1" xfId="0" applyFont="1" applyFill="1" applyBorder="1" applyAlignment="1"/>
    <xf numFmtId="0" fontId="8" fillId="2" borderId="1" xfId="0" applyFont="1" applyFill="1" applyBorder="1" applyAlignment="1"/>
    <xf numFmtId="4" fontId="33" fillId="2" borderId="1" xfId="0" applyNumberFormat="1" applyFont="1" applyFill="1" applyBorder="1" applyAlignment="1">
      <alignment horizontal="right" wrapText="1"/>
    </xf>
    <xf numFmtId="43" fontId="8" fillId="2" borderId="1" xfId="1" applyFont="1" applyFill="1" applyBorder="1" applyAlignment="1">
      <alignment horizontal="center"/>
    </xf>
    <xf numFmtId="43" fontId="10" fillId="2" borderId="1" xfId="0" applyNumberFormat="1" applyFont="1" applyFill="1" applyBorder="1"/>
    <xf numFmtId="43" fontId="8" fillId="2" borderId="1" xfId="1" applyFont="1" applyFill="1" applyBorder="1"/>
    <xf numFmtId="0" fontId="8" fillId="2" borderId="1" xfId="0" applyFont="1" applyFill="1" applyBorder="1" applyAlignment="1">
      <alignment horizontal="left"/>
    </xf>
    <xf numFmtId="0" fontId="10" fillId="2" borderId="6" xfId="0" applyFont="1" applyFill="1" applyBorder="1" applyAlignment="1">
      <alignment horizontal="center"/>
    </xf>
    <xf numFmtId="43" fontId="10" fillId="2" borderId="6" xfId="1" applyFont="1" applyFill="1" applyBorder="1"/>
    <xf numFmtId="0" fontId="8" fillId="2" borderId="0" xfId="0" applyFont="1" applyFill="1" applyAlignment="1"/>
    <xf numFmtId="43" fontId="8" fillId="2" borderId="0" xfId="0" applyNumberFormat="1" applyFont="1" applyFill="1"/>
    <xf numFmtId="43" fontId="32" fillId="2" borderId="0" xfId="1" applyFont="1" applyFill="1"/>
    <xf numFmtId="0" fontId="4" fillId="2" borderId="1" xfId="1" applyNumberFormat="1" applyFont="1" applyFill="1" applyBorder="1" applyAlignment="1">
      <alignment vertical="center"/>
    </xf>
    <xf numFmtId="41" fontId="4" fillId="2" borderId="1" xfId="1" applyNumberFormat="1" applyFont="1" applyFill="1" applyBorder="1" applyAlignment="1">
      <alignment vertical="center"/>
    </xf>
    <xf numFmtId="41" fontId="4" fillId="2" borderId="1" xfId="1" applyNumberFormat="1" applyFont="1" applyFill="1" applyBorder="1" applyAlignment="1"/>
    <xf numFmtId="41" fontId="4" fillId="2" borderId="2" xfId="1" applyNumberFormat="1" applyFont="1" applyFill="1" applyBorder="1" applyAlignment="1">
      <alignment horizontal="center"/>
    </xf>
    <xf numFmtId="41" fontId="4" fillId="2" borderId="4" xfId="1" applyNumberFormat="1" applyFont="1" applyFill="1" applyBorder="1" applyAlignment="1">
      <alignment horizontal="center"/>
    </xf>
    <xf numFmtId="41" fontId="4" fillId="2" borderId="4" xfId="1" applyNumberFormat="1" applyFont="1" applyFill="1" applyBorder="1" applyAlignment="1">
      <alignment horizontal="center" vertical="top"/>
    </xf>
    <xf numFmtId="43" fontId="6" fillId="2" borderId="6" xfId="1" applyNumberFormat="1" applyFont="1" applyFill="1" applyBorder="1" applyAlignment="1"/>
    <xf numFmtId="49" fontId="10" fillId="0" borderId="9" xfId="1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0" xfId="0" applyFont="1" applyFill="1" applyBorder="1"/>
    <xf numFmtId="49" fontId="9" fillId="0" borderId="10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6" fillId="0" borderId="1" xfId="0" applyNumberFormat="1" applyFont="1" applyFill="1" applyBorder="1" applyAlignment="1"/>
    <xf numFmtId="0" fontId="2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/>
    </xf>
    <xf numFmtId="187" fontId="6" fillId="2" borderId="9" xfId="1" applyNumberFormat="1" applyFont="1" applyFill="1" applyBorder="1" applyAlignment="1">
      <alignment horizontal="center"/>
    </xf>
    <xf numFmtId="43" fontId="4" fillId="0" borderId="4" xfId="1" applyFont="1" applyBorder="1"/>
    <xf numFmtId="43" fontId="10" fillId="2" borderId="9" xfId="0" applyNumberFormat="1" applyFont="1" applyFill="1" applyBorder="1" applyAlignment="1">
      <alignment horizontal="center"/>
    </xf>
    <xf numFmtId="43" fontId="10" fillId="2" borderId="11" xfId="0" applyNumberFormat="1" applyFont="1" applyFill="1" applyBorder="1" applyAlignment="1">
      <alignment horizontal="center"/>
    </xf>
    <xf numFmtId="0" fontId="10" fillId="2" borderId="11" xfId="0" applyFont="1" applyFill="1" applyBorder="1" applyAlignment="1">
      <alignment horizontal="center"/>
    </xf>
    <xf numFmtId="43" fontId="19" fillId="2" borderId="9" xfId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wrapText="1" shrinkToFit="1"/>
    </xf>
    <xf numFmtId="43" fontId="19" fillId="2" borderId="4" xfId="1" applyFont="1" applyFill="1" applyBorder="1" applyAlignment="1"/>
    <xf numFmtId="43" fontId="34" fillId="2" borderId="4" xfId="1" applyFont="1" applyFill="1" applyBorder="1" applyAlignment="1">
      <alignment wrapText="1"/>
    </xf>
    <xf numFmtId="41" fontId="4" fillId="2" borderId="1" xfId="1" applyNumberFormat="1" applyFont="1" applyFill="1" applyBorder="1" applyAlignment="1">
      <alignment horizontal="center" vertical="top"/>
    </xf>
    <xf numFmtId="43" fontId="2" fillId="2" borderId="6" xfId="1" applyNumberFormat="1" applyFont="1" applyFill="1" applyBorder="1"/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shrinkToFit="1"/>
    </xf>
    <xf numFmtId="41" fontId="6" fillId="2" borderId="6" xfId="0" applyNumberFormat="1" applyFont="1" applyFill="1" applyBorder="1"/>
    <xf numFmtId="41" fontId="6" fillId="2" borderId="1" xfId="1" applyNumberFormat="1" applyFont="1" applyFill="1" applyBorder="1"/>
    <xf numFmtId="41" fontId="6" fillId="2" borderId="6" xfId="1" applyNumberFormat="1" applyFont="1" applyFill="1" applyBorder="1"/>
    <xf numFmtId="41" fontId="6" fillId="0" borderId="6" xfId="1" applyNumberFormat="1" applyFont="1" applyFill="1" applyBorder="1"/>
    <xf numFmtId="43" fontId="6" fillId="0" borderId="3" xfId="1" applyFont="1" applyFill="1" applyBorder="1"/>
    <xf numFmtId="191" fontId="6" fillId="0" borderId="3" xfId="1" applyNumberFormat="1" applyFont="1" applyFill="1" applyBorder="1"/>
    <xf numFmtId="191" fontId="6" fillId="0" borderId="1" xfId="1" applyNumberFormat="1" applyFont="1" applyFill="1" applyBorder="1"/>
    <xf numFmtId="192" fontId="6" fillId="0" borderId="3" xfId="1" applyNumberFormat="1" applyFont="1" applyFill="1" applyBorder="1"/>
    <xf numFmtId="192" fontId="6" fillId="0" borderId="1" xfId="1" applyNumberFormat="1" applyFont="1" applyFill="1" applyBorder="1"/>
    <xf numFmtId="192" fontId="16" fillId="0" borderId="1" xfId="1" applyNumberFormat="1" applyFont="1" applyFill="1" applyBorder="1"/>
    <xf numFmtId="192" fontId="4" fillId="2" borderId="1" xfId="1" applyNumberFormat="1" applyFont="1" applyFill="1" applyBorder="1" applyAlignment="1">
      <alignment horizontal="right"/>
    </xf>
    <xf numFmtId="192" fontId="4" fillId="2" borderId="1" xfId="1" applyNumberFormat="1" applyFont="1" applyFill="1" applyBorder="1" applyAlignment="1">
      <alignment horizontal="right" vertical="center"/>
    </xf>
    <xf numFmtId="192" fontId="4" fillId="2" borderId="1" xfId="1" applyNumberFormat="1" applyFont="1" applyFill="1" applyBorder="1" applyAlignment="1">
      <alignment horizontal="center" vertical="center"/>
    </xf>
    <xf numFmtId="192" fontId="6" fillId="2" borderId="1" xfId="1" applyNumberFormat="1" applyFont="1" applyFill="1" applyBorder="1" applyAlignment="1"/>
    <xf numFmtId="192" fontId="6" fillId="2" borderId="1" xfId="1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4" fillId="0" borderId="0" xfId="0" applyNumberFormat="1" applyFont="1" applyFill="1" applyBorder="1" applyAlignment="1">
      <alignment horizontal="center" wrapText="1"/>
    </xf>
    <xf numFmtId="43" fontId="10" fillId="2" borderId="9" xfId="1" applyFont="1" applyFill="1" applyBorder="1" applyAlignment="1">
      <alignment horizontal="center" vertical="center"/>
    </xf>
    <xf numFmtId="0" fontId="32" fillId="2" borderId="10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center" vertical="center"/>
    </xf>
    <xf numFmtId="43" fontId="10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/>
    </xf>
    <xf numFmtId="43" fontId="10" fillId="2" borderId="8" xfId="1" applyFont="1" applyFill="1" applyBorder="1" applyAlignment="1">
      <alignment horizontal="right"/>
    </xf>
    <xf numFmtId="43" fontId="10" fillId="2" borderId="1" xfId="1" applyFont="1" applyFill="1" applyBorder="1" applyAlignment="1">
      <alignment horizontal="center"/>
    </xf>
    <xf numFmtId="43" fontId="10" fillId="2" borderId="9" xfId="1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87" fontId="4" fillId="2" borderId="12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3" fontId="6" fillId="2" borderId="12" xfId="1" applyFont="1" applyFill="1" applyBorder="1" applyAlignment="1">
      <alignment vertical="center"/>
    </xf>
    <xf numFmtId="0" fontId="0" fillId="0" borderId="2" xfId="0" applyBorder="1" applyAlignment="1">
      <alignment vertical="center"/>
    </xf>
    <xf numFmtId="43" fontId="4" fillId="2" borderId="12" xfId="1" applyFont="1" applyFill="1" applyBorder="1" applyAlignment="1">
      <alignment horizontal="center" vertical="center"/>
    </xf>
    <xf numFmtId="43" fontId="4" fillId="2" borderId="12" xfId="1" applyFont="1" applyFill="1" applyBorder="1" applyAlignment="1">
      <alignment vertical="center"/>
    </xf>
    <xf numFmtId="43" fontId="8" fillId="2" borderId="12" xfId="1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43" fontId="2" fillId="2" borderId="9" xfId="1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43" fontId="2" fillId="2" borderId="9" xfId="1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187" fontId="2" fillId="2" borderId="9" xfId="1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43" fontId="2" fillId="0" borderId="0" xfId="1" applyFont="1" applyFill="1" applyAlignment="1">
      <alignment horizontal="center"/>
    </xf>
    <xf numFmtId="43" fontId="6" fillId="0" borderId="9" xfId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87" fontId="6" fillId="0" borderId="9" xfId="1" applyNumberFormat="1" applyFont="1" applyFill="1" applyBorder="1" applyAlignment="1">
      <alignment horizontal="center" vertical="center"/>
    </xf>
    <xf numFmtId="187" fontId="4" fillId="2" borderId="9" xfId="1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3" fontId="12" fillId="2" borderId="9" xfId="1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43" fontId="6" fillId="2" borderId="9" xfId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3" fontId="4" fillId="2" borderId="9" xfId="1" applyFont="1" applyFill="1" applyBorder="1" applyAlignment="1">
      <alignment vertical="center"/>
    </xf>
    <xf numFmtId="0" fontId="0" fillId="0" borderId="11" xfId="0" applyBorder="1" applyAlignment="1">
      <alignment vertical="center"/>
    </xf>
    <xf numFmtId="43" fontId="6" fillId="2" borderId="9" xfId="1" applyFont="1" applyFill="1" applyBorder="1" applyAlignment="1">
      <alignment vertical="center"/>
    </xf>
    <xf numFmtId="43" fontId="6" fillId="2" borderId="11" xfId="1" applyFont="1" applyFill="1" applyBorder="1" applyAlignment="1">
      <alignment vertical="center"/>
    </xf>
    <xf numFmtId="43" fontId="6" fillId="2" borderId="9" xfId="1" applyFont="1" applyFill="1" applyBorder="1" applyAlignment="1">
      <alignment horizontal="center"/>
    </xf>
    <xf numFmtId="43" fontId="13" fillId="2" borderId="11" xfId="1" applyFont="1" applyFill="1" applyBorder="1" applyAlignment="1">
      <alignment horizontal="center"/>
    </xf>
    <xf numFmtId="43" fontId="6" fillId="2" borderId="14" xfId="1" applyFont="1" applyFill="1" applyBorder="1" applyAlignment="1">
      <alignment horizontal="center"/>
    </xf>
    <xf numFmtId="43" fontId="6" fillId="2" borderId="15" xfId="1" applyFont="1" applyFill="1" applyBorder="1" applyAlignment="1">
      <alignment horizontal="center"/>
    </xf>
    <xf numFmtId="43" fontId="6" fillId="2" borderId="16" xfId="1" applyFont="1" applyFill="1" applyBorder="1" applyAlignment="1">
      <alignment horizontal="center"/>
    </xf>
    <xf numFmtId="187" fontId="6" fillId="2" borderId="9" xfId="1" applyNumberFormat="1" applyFont="1" applyFill="1" applyBorder="1" applyAlignment="1">
      <alignment horizontal="center"/>
    </xf>
    <xf numFmtId="0" fontId="13" fillId="2" borderId="1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20" fillId="2" borderId="14" xfId="0" applyFont="1" applyFill="1" applyBorder="1" applyAlignment="1">
      <alignment horizontal="center"/>
    </xf>
    <xf numFmtId="0" fontId="20" fillId="2" borderId="15" xfId="0" applyFont="1" applyFill="1" applyBorder="1" applyAlignment="1">
      <alignment horizontal="center"/>
    </xf>
    <xf numFmtId="0" fontId="20" fillId="2" borderId="16" xfId="0" applyFont="1" applyFill="1" applyBorder="1" applyAlignment="1">
      <alignment horizontal="center"/>
    </xf>
    <xf numFmtId="0" fontId="15" fillId="2" borderId="14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43" fontId="15" fillId="2" borderId="14" xfId="1" applyFont="1" applyFill="1" applyBorder="1" applyAlignment="1">
      <alignment horizontal="center"/>
    </xf>
    <xf numFmtId="43" fontId="15" fillId="2" borderId="15" xfId="1" applyFont="1" applyFill="1" applyBorder="1" applyAlignment="1">
      <alignment horizontal="center"/>
    </xf>
    <xf numFmtId="43" fontId="15" fillId="2" borderId="16" xfId="1" applyFont="1" applyFill="1" applyBorder="1" applyAlignment="1">
      <alignment horizontal="center"/>
    </xf>
    <xf numFmtId="0" fontId="0" fillId="2" borderId="11" xfId="0" applyFill="1" applyBorder="1" applyAlignment="1">
      <alignment vertical="center"/>
    </xf>
    <xf numFmtId="43" fontId="4" fillId="2" borderId="9" xfId="0" applyNumberFormat="1" applyFont="1" applyFill="1" applyBorder="1" applyAlignment="1">
      <alignment vertical="center"/>
    </xf>
    <xf numFmtId="43" fontId="4" fillId="2" borderId="9" xfId="1" applyFont="1" applyFill="1" applyBorder="1" applyAlignment="1">
      <alignment horizontal="right" vertical="center"/>
    </xf>
    <xf numFmtId="43" fontId="0" fillId="2" borderId="11" xfId="1" applyFont="1" applyFill="1" applyBorder="1" applyAlignment="1">
      <alignment horizontal="right" vertical="center"/>
    </xf>
    <xf numFmtId="43" fontId="4" fillId="2" borderId="11" xfId="1" applyFont="1" applyFill="1" applyBorder="1" applyAlignment="1">
      <alignment horizontal="right" vertical="center"/>
    </xf>
    <xf numFmtId="43" fontId="2" fillId="2" borderId="0" xfId="1" applyFont="1" applyFill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8000"/>
      <color rgb="FFCC00CC"/>
      <color rgb="FFFFFF66"/>
      <color rgb="FFFFFF00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61"/>
  <sheetViews>
    <sheetView topLeftCell="A10" workbookViewId="0">
      <selection activeCell="C18" sqref="C18"/>
    </sheetView>
  </sheetViews>
  <sheetFormatPr defaultColWidth="8.19921875" defaultRowHeight="23.4" x14ac:dyDescent="0.45"/>
  <cols>
    <col min="1" max="1" width="41.69921875" style="30" customWidth="1"/>
    <col min="2" max="2" width="21.69921875" style="30" customWidth="1"/>
    <col min="3" max="3" width="22.3984375" style="30" customWidth="1"/>
    <col min="4" max="4" width="22.09765625" style="30" customWidth="1"/>
    <col min="5" max="5" width="19.796875" style="30" customWidth="1"/>
    <col min="6" max="6" width="2.59765625" style="30" customWidth="1"/>
    <col min="7" max="7" width="16.796875" style="32" bestFit="1" customWidth="1"/>
    <col min="8" max="8" width="14.8984375" style="33" bestFit="1" customWidth="1"/>
    <col min="9" max="16384" width="8.19921875" style="30"/>
  </cols>
  <sheetData>
    <row r="1" spans="1:8" s="1" customFormat="1" x14ac:dyDescent="0.45">
      <c r="A1" s="533" t="s">
        <v>6</v>
      </c>
      <c r="B1" s="533"/>
      <c r="C1" s="533"/>
      <c r="D1" s="533"/>
      <c r="E1" s="533"/>
      <c r="G1" s="2"/>
      <c r="H1" s="3"/>
    </row>
    <row r="2" spans="1:8" s="1" customFormat="1" ht="25.5" customHeight="1" x14ac:dyDescent="0.45">
      <c r="A2" s="534" t="s">
        <v>0</v>
      </c>
      <c r="B2" s="534"/>
      <c r="C2" s="534"/>
      <c r="D2" s="534"/>
      <c r="E2" s="534"/>
      <c r="G2" s="2"/>
      <c r="H2" s="3"/>
    </row>
    <row r="3" spans="1:8" s="1" customFormat="1" ht="25.5" customHeight="1" x14ac:dyDescent="0.45">
      <c r="A3" s="534" t="s">
        <v>39</v>
      </c>
      <c r="B3" s="534"/>
      <c r="C3" s="534"/>
      <c r="D3" s="534"/>
      <c r="E3" s="534"/>
      <c r="G3" s="3"/>
      <c r="H3" s="3"/>
    </row>
    <row r="4" spans="1:8" s="1" customFormat="1" x14ac:dyDescent="0.45">
      <c r="A4" s="4" t="s">
        <v>7</v>
      </c>
      <c r="G4" s="2"/>
      <c r="H4" s="3"/>
    </row>
    <row r="5" spans="1:8" s="1" customFormat="1" x14ac:dyDescent="0.45">
      <c r="E5" s="5" t="s">
        <v>8</v>
      </c>
      <c r="G5" s="2"/>
      <c r="H5" s="3"/>
    </row>
    <row r="6" spans="1:8" s="7" customFormat="1" x14ac:dyDescent="0.45">
      <c r="A6" s="6" t="s">
        <v>1</v>
      </c>
      <c r="B6" s="6" t="s">
        <v>2</v>
      </c>
      <c r="C6" s="6" t="s">
        <v>3</v>
      </c>
      <c r="D6" s="6" t="s">
        <v>4</v>
      </c>
      <c r="E6" s="6" t="s">
        <v>5</v>
      </c>
      <c r="G6" s="8"/>
    </row>
    <row r="7" spans="1:8" s="12" customFormat="1" x14ac:dyDescent="0.45">
      <c r="A7" s="9" t="s">
        <v>9</v>
      </c>
      <c r="B7" s="10">
        <v>908348218.38</v>
      </c>
      <c r="C7" s="10">
        <v>-15422</v>
      </c>
      <c r="D7" s="10">
        <v>97392297.620000005</v>
      </c>
      <c r="E7" s="11">
        <f t="shared" ref="E7:E14" si="0">SUM(B7:D7)</f>
        <v>1005725094</v>
      </c>
      <c r="G7" s="13"/>
      <c r="H7" s="14"/>
    </row>
    <row r="8" spans="1:8" s="12" customFormat="1" ht="21" x14ac:dyDescent="0.4">
      <c r="A8" s="15" t="s">
        <v>10</v>
      </c>
      <c r="B8" s="16">
        <v>835957731.00999999</v>
      </c>
      <c r="C8" s="16">
        <v>2149823.65</v>
      </c>
      <c r="D8" s="15"/>
      <c r="E8" s="17">
        <f t="shared" si="0"/>
        <v>838107554.65999997</v>
      </c>
      <c r="G8" s="13"/>
      <c r="H8" s="13"/>
    </row>
    <row r="9" spans="1:8" s="12" customFormat="1" ht="21" x14ac:dyDescent="0.4">
      <c r="A9" s="15" t="s">
        <v>11</v>
      </c>
      <c r="B9" s="16">
        <v>31936862.640000001</v>
      </c>
      <c r="C9" s="16">
        <v>34024.589999999997</v>
      </c>
      <c r="D9" s="15"/>
      <c r="E9" s="17">
        <f t="shared" si="0"/>
        <v>31970887.23</v>
      </c>
      <c r="G9" s="13"/>
      <c r="H9" s="13"/>
    </row>
    <row r="10" spans="1:8" s="12" customFormat="1" ht="21" x14ac:dyDescent="0.4">
      <c r="A10" s="15" t="s">
        <v>12</v>
      </c>
      <c r="B10" s="16">
        <v>647057857.78999996</v>
      </c>
      <c r="C10" s="16">
        <v>3035266.81</v>
      </c>
      <c r="D10" s="16"/>
      <c r="E10" s="17">
        <f>SUM(B10:D10)</f>
        <v>650093124.5999999</v>
      </c>
      <c r="G10" s="13"/>
      <c r="H10" s="18"/>
    </row>
    <row r="11" spans="1:8" s="12" customFormat="1" ht="21" x14ac:dyDescent="0.4">
      <c r="A11" s="15" t="s">
        <v>13</v>
      </c>
      <c r="B11" s="16">
        <v>159471729.33000001</v>
      </c>
      <c r="C11" s="16">
        <v>135067357.97999999</v>
      </c>
      <c r="D11" s="16">
        <v>2609691.2799999998</v>
      </c>
      <c r="E11" s="17">
        <f t="shared" si="0"/>
        <v>297148778.58999997</v>
      </c>
      <c r="G11" s="13"/>
      <c r="H11" s="13"/>
    </row>
    <row r="12" spans="1:8" s="12" customFormat="1" ht="21" x14ac:dyDescent="0.4">
      <c r="A12" s="15" t="s">
        <v>14</v>
      </c>
      <c r="B12" s="16">
        <v>34592894.049999997</v>
      </c>
      <c r="C12" s="16"/>
      <c r="D12" s="15"/>
      <c r="E12" s="17">
        <f t="shared" si="0"/>
        <v>34592894.049999997</v>
      </c>
      <c r="G12" s="13"/>
      <c r="H12" s="13"/>
    </row>
    <row r="13" spans="1:8" s="12" customFormat="1" ht="21" x14ac:dyDescent="0.4">
      <c r="A13" s="15" t="s">
        <v>15</v>
      </c>
      <c r="B13" s="16">
        <v>132</v>
      </c>
      <c r="C13" s="16">
        <v>3963.4</v>
      </c>
      <c r="D13" s="506">
        <v>4697.8</v>
      </c>
      <c r="E13" s="19">
        <f t="shared" si="0"/>
        <v>8793.2000000000007</v>
      </c>
      <c r="G13" s="13"/>
      <c r="H13" s="13"/>
    </row>
    <row r="14" spans="1:8" s="12" customFormat="1" ht="21" x14ac:dyDescent="0.4">
      <c r="A14" s="15" t="s">
        <v>16</v>
      </c>
      <c r="B14" s="20">
        <v>90711214.569999993</v>
      </c>
      <c r="C14" s="20">
        <v>55540.75</v>
      </c>
      <c r="D14" s="21"/>
      <c r="E14" s="19">
        <f t="shared" si="0"/>
        <v>90766755.319999993</v>
      </c>
      <c r="G14" s="13"/>
      <c r="H14" s="13"/>
    </row>
    <row r="15" spans="1:8" s="24" customFormat="1" ht="21.6" thickBot="1" x14ac:dyDescent="0.45">
      <c r="A15" s="22" t="s">
        <v>17</v>
      </c>
      <c r="B15" s="23">
        <f>SUM(B7:B14)</f>
        <v>2708076639.77</v>
      </c>
      <c r="C15" s="23">
        <f>SUM(C7:C14)</f>
        <v>140330555.18000001</v>
      </c>
      <c r="D15" s="23">
        <f>SUM(D7:D14)</f>
        <v>100006686.7</v>
      </c>
      <c r="E15" s="23">
        <f>SUM(E7:E14)</f>
        <v>2948413881.6500001</v>
      </c>
      <c r="G15" s="25"/>
      <c r="H15" s="25"/>
    </row>
    <row r="16" spans="1:8" s="24" customFormat="1" ht="21.6" thickTop="1" x14ac:dyDescent="0.4">
      <c r="A16" s="240"/>
      <c r="B16" s="241"/>
      <c r="C16" s="241"/>
      <c r="D16" s="241"/>
      <c r="E16" s="241"/>
      <c r="G16" s="25"/>
      <c r="H16" s="25"/>
    </row>
    <row r="17" spans="1:8" s="24" customFormat="1" ht="21" x14ac:dyDescent="0.4">
      <c r="A17" s="240"/>
      <c r="B17" s="241"/>
      <c r="C17" s="241"/>
      <c r="D17" s="241"/>
      <c r="E17" s="241"/>
      <c r="G17" s="25"/>
      <c r="H17" s="25"/>
    </row>
    <row r="18" spans="1:8" s="24" customFormat="1" ht="21" x14ac:dyDescent="0.4">
      <c r="A18" s="240"/>
      <c r="B18" s="241"/>
      <c r="C18" s="241"/>
      <c r="D18" s="241"/>
      <c r="E18" s="241"/>
      <c r="G18" s="25"/>
      <c r="H18" s="25"/>
    </row>
    <row r="19" spans="1:8" s="24" customFormat="1" ht="21" x14ac:dyDescent="0.4">
      <c r="A19" s="240"/>
      <c r="B19" s="241"/>
      <c r="C19" s="241"/>
      <c r="D19" s="241"/>
      <c r="E19" s="241"/>
      <c r="G19" s="25"/>
      <c r="H19" s="25"/>
    </row>
    <row r="20" spans="1:8" s="24" customFormat="1" ht="21" x14ac:dyDescent="0.4">
      <c r="A20" s="240"/>
      <c r="B20" s="241"/>
      <c r="C20" s="241"/>
      <c r="D20" s="241"/>
      <c r="E20" s="241"/>
      <c r="G20" s="25"/>
      <c r="H20" s="25"/>
    </row>
    <row r="21" spans="1:8" s="24" customFormat="1" ht="21" x14ac:dyDescent="0.4">
      <c r="A21" s="240"/>
      <c r="B21" s="241"/>
      <c r="C21" s="241"/>
      <c r="D21" s="241"/>
      <c r="E21" s="241"/>
      <c r="G21" s="25"/>
      <c r="H21" s="25"/>
    </row>
    <row r="22" spans="1:8" s="24" customFormat="1" ht="21" x14ac:dyDescent="0.4">
      <c r="A22" s="240"/>
      <c r="B22" s="241"/>
      <c r="C22" s="241"/>
      <c r="D22" s="241"/>
      <c r="E22" s="241"/>
      <c r="G22" s="25"/>
      <c r="H22" s="25"/>
    </row>
    <row r="23" spans="1:8" s="24" customFormat="1" ht="21" x14ac:dyDescent="0.4">
      <c r="A23" s="240"/>
      <c r="B23" s="241"/>
      <c r="C23" s="241"/>
      <c r="D23" s="241"/>
      <c r="E23" s="241"/>
      <c r="G23" s="25"/>
      <c r="H23" s="25"/>
    </row>
    <row r="24" spans="1:8" s="244" customFormat="1" ht="23.25" customHeight="1" x14ac:dyDescent="0.35">
      <c r="A24" s="242" t="s">
        <v>18</v>
      </c>
      <c r="B24" s="243"/>
      <c r="C24" s="243"/>
      <c r="D24" s="243"/>
      <c r="E24" s="243"/>
      <c r="G24" s="245"/>
      <c r="H24" s="246"/>
    </row>
    <row r="25" spans="1:8" s="242" customFormat="1" ht="17.399999999999999" x14ac:dyDescent="0.35">
      <c r="A25" s="242" t="s">
        <v>19</v>
      </c>
      <c r="B25" s="247"/>
      <c r="C25" s="247"/>
      <c r="D25" s="248"/>
      <c r="E25" s="248">
        <v>2948413881.6500001</v>
      </c>
      <c r="G25" s="249"/>
      <c r="H25" s="249"/>
    </row>
    <row r="26" spans="1:8" s="244" customFormat="1" ht="13.5" customHeight="1" x14ac:dyDescent="0.35">
      <c r="C26" s="243"/>
      <c r="G26" s="250"/>
      <c r="H26" s="246"/>
    </row>
    <row r="27" spans="1:8" s="256" customFormat="1" ht="20.25" customHeight="1" x14ac:dyDescent="0.35">
      <c r="A27" s="251" t="s">
        <v>392</v>
      </c>
      <c r="B27" s="252"/>
      <c r="C27" s="253"/>
      <c r="D27" s="254"/>
      <c r="E27" s="255">
        <f>SUM(D28:D48)</f>
        <v>300680213.1699999</v>
      </c>
      <c r="G27" s="257"/>
      <c r="H27" s="258"/>
    </row>
    <row r="28" spans="1:8" s="256" customFormat="1" ht="20.25" customHeight="1" x14ac:dyDescent="0.35">
      <c r="A28" s="259" t="s">
        <v>40</v>
      </c>
      <c r="B28" s="252"/>
      <c r="C28" s="253"/>
      <c r="D28" s="260">
        <v>9728</v>
      </c>
      <c r="E28" s="255"/>
      <c r="G28" s="257"/>
      <c r="H28" s="258"/>
    </row>
    <row r="29" spans="1:8" s="265" customFormat="1" ht="20.25" customHeight="1" x14ac:dyDescent="0.35">
      <c r="A29" s="259" t="s">
        <v>20</v>
      </c>
      <c r="B29" s="261"/>
      <c r="C29" s="262"/>
      <c r="D29" s="263">
        <v>126419906.23999999</v>
      </c>
      <c r="E29" s="264"/>
      <c r="G29" s="257"/>
      <c r="H29" s="266"/>
    </row>
    <row r="30" spans="1:8" s="265" customFormat="1" ht="20.25" customHeight="1" x14ac:dyDescent="0.35">
      <c r="A30" s="259" t="s">
        <v>21</v>
      </c>
      <c r="B30" s="261"/>
      <c r="C30" s="262"/>
      <c r="D30" s="263">
        <v>54240</v>
      </c>
      <c r="E30" s="264"/>
      <c r="G30" s="267"/>
      <c r="H30" s="266"/>
    </row>
    <row r="31" spans="1:8" s="265" customFormat="1" ht="20.25" customHeight="1" x14ac:dyDescent="0.35">
      <c r="A31" s="259" t="s">
        <v>22</v>
      </c>
      <c r="B31" s="261"/>
      <c r="C31" s="262"/>
      <c r="D31" s="263">
        <v>483256.8</v>
      </c>
      <c r="G31" s="267"/>
      <c r="H31" s="266"/>
    </row>
    <row r="32" spans="1:8" s="265" customFormat="1" ht="20.25" customHeight="1" x14ac:dyDescent="0.35">
      <c r="A32" s="259" t="s">
        <v>23</v>
      </c>
      <c r="B32" s="261"/>
      <c r="C32" s="262"/>
      <c r="D32" s="263">
        <v>7766120.8099999996</v>
      </c>
      <c r="G32" s="267"/>
      <c r="H32" s="266"/>
    </row>
    <row r="33" spans="1:8" s="265" customFormat="1" ht="20.25" customHeight="1" x14ac:dyDescent="0.35">
      <c r="A33" s="259" t="s">
        <v>24</v>
      </c>
      <c r="B33" s="261"/>
      <c r="C33" s="262"/>
      <c r="D33" s="263">
        <v>8912833.6999999993</v>
      </c>
      <c r="G33" s="267"/>
      <c r="H33" s="266"/>
    </row>
    <row r="34" spans="1:8" s="265" customFormat="1" ht="20.25" customHeight="1" x14ac:dyDescent="0.35">
      <c r="A34" s="259" t="s">
        <v>25</v>
      </c>
      <c r="B34" s="261"/>
      <c r="C34" s="262"/>
      <c r="D34" s="263">
        <v>1524339.7</v>
      </c>
      <c r="G34" s="267"/>
      <c r="H34" s="266"/>
    </row>
    <row r="35" spans="1:8" s="265" customFormat="1" ht="20.25" customHeight="1" x14ac:dyDescent="0.35">
      <c r="A35" s="259" t="s">
        <v>26</v>
      </c>
      <c r="B35" s="261"/>
      <c r="C35" s="262"/>
      <c r="D35" s="263">
        <v>10385485.949999999</v>
      </c>
      <c r="E35" s="268"/>
      <c r="G35" s="267"/>
      <c r="H35" s="266"/>
    </row>
    <row r="36" spans="1:8" s="270" customFormat="1" ht="20.25" customHeight="1" x14ac:dyDescent="0.35">
      <c r="A36" s="259" t="s">
        <v>27</v>
      </c>
      <c r="B36" s="261"/>
      <c r="C36" s="262"/>
      <c r="D36" s="263">
        <v>49755</v>
      </c>
      <c r="E36" s="269"/>
      <c r="G36" s="271"/>
      <c r="H36" s="272"/>
    </row>
    <row r="37" spans="1:8" s="274" customFormat="1" ht="20.25" customHeight="1" x14ac:dyDescent="0.35">
      <c r="A37" s="259" t="s">
        <v>28</v>
      </c>
      <c r="B37" s="252"/>
      <c r="C37" s="253"/>
      <c r="D37" s="263">
        <v>22800594.100000001</v>
      </c>
      <c r="E37" s="273"/>
      <c r="G37" s="275"/>
      <c r="H37" s="276"/>
    </row>
    <row r="38" spans="1:8" s="270" customFormat="1" ht="20.25" customHeight="1" x14ac:dyDescent="0.35">
      <c r="A38" s="259" t="s">
        <v>29</v>
      </c>
      <c r="B38" s="261"/>
      <c r="C38" s="262"/>
      <c r="D38" s="263">
        <v>389548</v>
      </c>
      <c r="E38" s="277"/>
      <c r="G38" s="278"/>
      <c r="H38" s="272"/>
    </row>
    <row r="39" spans="1:8" s="270" customFormat="1" ht="20.25" customHeight="1" x14ac:dyDescent="0.35">
      <c r="A39" s="259" t="s">
        <v>30</v>
      </c>
      <c r="B39" s="261"/>
      <c r="C39" s="262"/>
      <c r="D39" s="263">
        <v>13024617.449999999</v>
      </c>
      <c r="E39" s="277"/>
      <c r="G39" s="278"/>
      <c r="H39" s="272"/>
    </row>
    <row r="40" spans="1:8" s="281" customFormat="1" ht="20.25" customHeight="1" x14ac:dyDescent="0.35">
      <c r="A40" s="259" t="s">
        <v>31</v>
      </c>
      <c r="B40" s="279"/>
      <c r="C40" s="280"/>
      <c r="D40" s="263">
        <v>3874611.7</v>
      </c>
      <c r="E40" s="260"/>
      <c r="G40" s="282"/>
      <c r="H40" s="283"/>
    </row>
    <row r="41" spans="1:8" s="281" customFormat="1" ht="20.25" customHeight="1" x14ac:dyDescent="0.35">
      <c r="A41" s="259" t="s">
        <v>32</v>
      </c>
      <c r="B41" s="279"/>
      <c r="C41" s="280"/>
      <c r="D41" s="284">
        <v>296471.36</v>
      </c>
      <c r="E41" s="260"/>
      <c r="G41" s="282"/>
      <c r="H41" s="283"/>
    </row>
    <row r="42" spans="1:8" s="281" customFormat="1" ht="20.25" customHeight="1" x14ac:dyDescent="0.35">
      <c r="A42" s="259" t="s">
        <v>33</v>
      </c>
      <c r="B42" s="279"/>
      <c r="C42" s="280"/>
      <c r="D42" s="263">
        <v>136384.47</v>
      </c>
      <c r="E42" s="260"/>
      <c r="G42" s="282"/>
      <c r="H42" s="283"/>
    </row>
    <row r="43" spans="1:8" s="281" customFormat="1" ht="20.25" customHeight="1" x14ac:dyDescent="0.35">
      <c r="A43" s="259" t="s">
        <v>34</v>
      </c>
      <c r="B43" s="279"/>
      <c r="C43" s="280"/>
      <c r="D43" s="263">
        <v>46898262.109999999</v>
      </c>
      <c r="E43" s="260"/>
      <c r="G43" s="282"/>
      <c r="H43" s="283"/>
    </row>
    <row r="44" spans="1:8" s="281" customFormat="1" ht="20.25" customHeight="1" x14ac:dyDescent="0.35">
      <c r="A44" s="259" t="s">
        <v>35</v>
      </c>
      <c r="B44" s="279"/>
      <c r="C44" s="280"/>
      <c r="D44" s="263">
        <v>25505719.640000001</v>
      </c>
      <c r="E44" s="260"/>
      <c r="G44" s="282"/>
      <c r="H44" s="283"/>
    </row>
    <row r="45" spans="1:8" s="281" customFormat="1" ht="20.25" customHeight="1" x14ac:dyDescent="0.35">
      <c r="A45" s="259" t="s">
        <v>36</v>
      </c>
      <c r="B45" s="279"/>
      <c r="C45" s="280"/>
      <c r="D45" s="263">
        <v>13126090</v>
      </c>
      <c r="E45" s="260"/>
      <c r="G45" s="282"/>
      <c r="H45" s="283"/>
    </row>
    <row r="46" spans="1:8" s="281" customFormat="1" ht="20.25" customHeight="1" x14ac:dyDescent="0.35">
      <c r="A46" s="259" t="s">
        <v>37</v>
      </c>
      <c r="B46" s="279"/>
      <c r="C46" s="280"/>
      <c r="D46" s="263">
        <v>18300558.809999999</v>
      </c>
      <c r="E46" s="260"/>
      <c r="G46" s="282"/>
      <c r="H46" s="283"/>
    </row>
    <row r="47" spans="1:8" s="281" customFormat="1" ht="20.25" customHeight="1" x14ac:dyDescent="0.35">
      <c r="A47" s="259" t="s">
        <v>41</v>
      </c>
      <c r="B47" s="279"/>
      <c r="C47" s="280"/>
      <c r="D47" s="263">
        <v>1500</v>
      </c>
      <c r="E47" s="260"/>
      <c r="G47" s="282"/>
      <c r="H47" s="283"/>
    </row>
    <row r="48" spans="1:8" s="281" customFormat="1" ht="20.25" customHeight="1" x14ac:dyDescent="0.35">
      <c r="A48" s="259" t="s">
        <v>38</v>
      </c>
      <c r="B48" s="279"/>
      <c r="C48" s="280"/>
      <c r="D48" s="263">
        <v>720189.33</v>
      </c>
      <c r="E48" s="260"/>
      <c r="G48" s="282"/>
      <c r="H48" s="283"/>
    </row>
    <row r="49" spans="1:8" s="242" customFormat="1" ht="20.25" customHeight="1" thickBot="1" x14ac:dyDescent="0.4">
      <c r="A49" s="287" t="s">
        <v>17</v>
      </c>
      <c r="C49" s="288"/>
      <c r="D49" s="285"/>
      <c r="E49" s="289">
        <f>+E25+E27</f>
        <v>3249094094.8200002</v>
      </c>
      <c r="G49" s="286"/>
      <c r="H49" s="249"/>
    </row>
    <row r="50" spans="1:8" s="244" customFormat="1" ht="18" thickTop="1" x14ac:dyDescent="0.35">
      <c r="C50" s="243"/>
      <c r="G50" s="250"/>
      <c r="H50" s="246"/>
    </row>
    <row r="51" spans="1:8" s="244" customFormat="1" ht="17.399999999999999" x14ac:dyDescent="0.35">
      <c r="C51" s="243"/>
      <c r="D51" s="243"/>
      <c r="E51" s="290"/>
      <c r="G51" s="250"/>
      <c r="H51" s="246"/>
    </row>
    <row r="52" spans="1:8" x14ac:dyDescent="0.45">
      <c r="B52" s="29"/>
      <c r="C52" s="31"/>
    </row>
    <row r="53" spans="1:8" x14ac:dyDescent="0.45">
      <c r="B53" s="29"/>
      <c r="C53" s="31"/>
    </row>
    <row r="54" spans="1:8" x14ac:dyDescent="0.45">
      <c r="B54" s="29"/>
      <c r="C54" s="31"/>
    </row>
    <row r="55" spans="1:8" x14ac:dyDescent="0.45">
      <c r="B55" s="29"/>
      <c r="C55" s="31"/>
      <c r="G55" s="30"/>
      <c r="H55" s="30"/>
    </row>
    <row r="56" spans="1:8" x14ac:dyDescent="0.45">
      <c r="B56" s="29"/>
      <c r="C56" s="31"/>
      <c r="G56" s="30"/>
      <c r="H56" s="30"/>
    </row>
    <row r="61" spans="1:8" x14ac:dyDescent="0.45">
      <c r="A61" s="535"/>
      <c r="B61" s="535"/>
      <c r="C61" s="535"/>
      <c r="D61" s="535"/>
      <c r="E61" s="535"/>
    </row>
  </sheetData>
  <mergeCells count="4">
    <mergeCell ref="A1:E1"/>
    <mergeCell ref="A2:E2"/>
    <mergeCell ref="A3:E3"/>
    <mergeCell ref="A61:E61"/>
  </mergeCells>
  <pageMargins left="0.51181102362204722" right="0.19685039370078741" top="0.35433070866141736" bottom="0.35433070866141736" header="0.31496062992125984" footer="0.31496062992125984"/>
  <pageSetup paperSize="9" orientation="landscape" r:id="rId1"/>
  <headerFooter>
    <oddHeader>&amp;R&amp;P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W43"/>
  <sheetViews>
    <sheetView topLeftCell="A7" zoomScale="85" zoomScaleNormal="85" workbookViewId="0">
      <pane xSplit="1" ySplit="3" topLeftCell="E10" activePane="bottomRight" state="frozen"/>
      <selection activeCell="A7" sqref="A7"/>
      <selection pane="topRight" activeCell="B7" sqref="B7"/>
      <selection pane="bottomLeft" activeCell="A10" sqref="A10"/>
      <selection pane="bottomRight" activeCell="G23" sqref="G23"/>
    </sheetView>
  </sheetViews>
  <sheetFormatPr defaultColWidth="8.19921875" defaultRowHeight="18" x14ac:dyDescent="0.35"/>
  <cols>
    <col min="1" max="1" width="29.796875" style="487" customWidth="1"/>
    <col min="2" max="2" width="17.5" style="97" customWidth="1"/>
    <col min="3" max="3" width="17.3984375" style="97" customWidth="1"/>
    <col min="4" max="4" width="17.5" style="97" customWidth="1"/>
    <col min="5" max="5" width="17" style="97" customWidth="1"/>
    <col min="6" max="6" width="17.59765625" style="97" customWidth="1"/>
    <col min="7" max="7" width="16.796875" style="99" bestFit="1" customWidth="1"/>
    <col min="8" max="8" width="17.09765625" style="97" customWidth="1"/>
    <col min="9" max="9" width="17.3984375" style="97" bestFit="1" customWidth="1"/>
    <col min="10" max="10" width="14.69921875" style="97" customWidth="1"/>
    <col min="11" max="11" width="14.69921875" style="97" hidden="1" customWidth="1"/>
    <col min="12" max="12" width="15" style="97" hidden="1" customWidth="1"/>
    <col min="13" max="13" width="16.796875" style="62" bestFit="1" customWidth="1"/>
    <col min="14" max="15" width="16.796875" style="97" bestFit="1" customWidth="1"/>
    <col min="16" max="17" width="16.5" style="97" bestFit="1" customWidth="1"/>
    <col min="18" max="18" width="15.19921875" style="97" bestFit="1" customWidth="1"/>
    <col min="19" max="19" width="16.5" style="97" bestFit="1" customWidth="1"/>
    <col min="20" max="20" width="13" style="97" customWidth="1"/>
    <col min="21" max="22" width="16.5" style="99" bestFit="1" customWidth="1"/>
    <col min="23" max="23" width="12.8984375" style="99" bestFit="1" customWidth="1"/>
    <col min="24" max="16384" width="8.19921875" style="99"/>
  </cols>
  <sheetData>
    <row r="1" spans="1:23" s="450" customFormat="1" x14ac:dyDescent="0.35">
      <c r="A1" s="541" t="s">
        <v>6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449"/>
      <c r="P1" s="449"/>
      <c r="Q1" s="449"/>
      <c r="R1" s="449"/>
      <c r="S1" s="449"/>
      <c r="T1" s="449"/>
    </row>
    <row r="2" spans="1:23" s="450" customFormat="1" x14ac:dyDescent="0.35">
      <c r="A2" s="541" t="s">
        <v>0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449"/>
      <c r="P2" s="449"/>
      <c r="Q2" s="449"/>
      <c r="R2" s="449"/>
      <c r="S2" s="449"/>
      <c r="T2" s="449"/>
    </row>
    <row r="3" spans="1:23" s="450" customFormat="1" x14ac:dyDescent="0.35">
      <c r="A3" s="541" t="s">
        <v>39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541"/>
      <c r="O3" s="449"/>
      <c r="P3" s="449"/>
      <c r="Q3" s="449"/>
      <c r="R3" s="449"/>
      <c r="S3" s="449"/>
      <c r="T3" s="449"/>
    </row>
    <row r="4" spans="1:23" s="450" customFormat="1" x14ac:dyDescent="0.35">
      <c r="A4" s="451" t="s">
        <v>339</v>
      </c>
      <c r="B4" s="449"/>
      <c r="C4" s="449"/>
      <c r="D4" s="449"/>
      <c r="E4" s="449"/>
      <c r="F4" s="449"/>
      <c r="H4" s="449"/>
      <c r="I4" s="449"/>
      <c r="J4" s="449"/>
      <c r="K4" s="449"/>
      <c r="L4" s="449"/>
      <c r="M4" s="449"/>
      <c r="N4" s="449"/>
      <c r="O4" s="449"/>
      <c r="P4" s="449"/>
      <c r="Q4" s="449"/>
      <c r="R4" s="449"/>
      <c r="S4" s="449"/>
      <c r="T4" s="449"/>
    </row>
    <row r="5" spans="1:23" s="65" customFormat="1" x14ac:dyDescent="0.35">
      <c r="A5" s="452"/>
      <c r="B5" s="62"/>
      <c r="C5" s="62"/>
      <c r="D5" s="62"/>
      <c r="E5" s="62"/>
      <c r="F5" s="62"/>
      <c r="G5" s="63"/>
      <c r="H5" s="62"/>
      <c r="I5" s="62"/>
      <c r="J5" s="62"/>
      <c r="K5" s="62"/>
      <c r="L5" s="62"/>
      <c r="M5" s="542" t="s">
        <v>42</v>
      </c>
      <c r="N5" s="542"/>
      <c r="O5" s="62"/>
      <c r="P5" s="62"/>
      <c r="Q5" s="62"/>
      <c r="R5" s="62"/>
      <c r="S5" s="62"/>
      <c r="T5" s="62"/>
    </row>
    <row r="6" spans="1:23" s="65" customFormat="1" x14ac:dyDescent="0.35">
      <c r="A6" s="453"/>
      <c r="B6" s="453"/>
      <c r="C6" s="543" t="s">
        <v>43</v>
      </c>
      <c r="D6" s="543"/>
      <c r="E6" s="543"/>
      <c r="F6" s="543"/>
      <c r="G6" s="543"/>
      <c r="H6" s="543" t="s">
        <v>44</v>
      </c>
      <c r="I6" s="543"/>
      <c r="J6" s="543"/>
      <c r="K6" s="543"/>
      <c r="L6" s="543"/>
      <c r="M6" s="543"/>
      <c r="N6" s="539" t="s">
        <v>45</v>
      </c>
      <c r="O6" s="62"/>
      <c r="P6" s="62"/>
      <c r="Q6" s="62"/>
      <c r="R6" s="62"/>
      <c r="S6" s="62"/>
      <c r="T6" s="62"/>
    </row>
    <row r="7" spans="1:23" s="294" customFormat="1" ht="21" customHeight="1" x14ac:dyDescent="0.35">
      <c r="A7" s="454" t="s">
        <v>46</v>
      </c>
      <c r="B7" s="455" t="s">
        <v>85</v>
      </c>
      <c r="C7" s="446" t="s">
        <v>47</v>
      </c>
      <c r="D7" s="446" t="s">
        <v>48</v>
      </c>
      <c r="E7" s="544" t="s">
        <v>87</v>
      </c>
      <c r="F7" s="536" t="s">
        <v>51</v>
      </c>
      <c r="G7" s="547" t="s">
        <v>52</v>
      </c>
      <c r="H7" s="536" t="s">
        <v>51</v>
      </c>
      <c r="I7" s="446" t="s">
        <v>47</v>
      </c>
      <c r="J7" s="446" t="s">
        <v>48</v>
      </c>
      <c r="K7" s="456" t="s">
        <v>50</v>
      </c>
      <c r="L7" s="456" t="s">
        <v>49</v>
      </c>
      <c r="M7" s="539" t="s">
        <v>53</v>
      </c>
      <c r="N7" s="540"/>
      <c r="O7" s="293"/>
      <c r="P7" s="293"/>
      <c r="Q7" s="293"/>
      <c r="R7" s="293"/>
      <c r="S7" s="293"/>
      <c r="T7" s="293"/>
    </row>
    <row r="8" spans="1:23" s="65" customFormat="1" x14ac:dyDescent="0.35">
      <c r="A8" s="457"/>
      <c r="B8" s="455" t="s">
        <v>86</v>
      </c>
      <c r="C8" s="455" t="s">
        <v>54</v>
      </c>
      <c r="D8" s="455" t="s">
        <v>55</v>
      </c>
      <c r="E8" s="545"/>
      <c r="F8" s="537"/>
      <c r="G8" s="540"/>
      <c r="H8" s="537"/>
      <c r="I8" s="455" t="s">
        <v>54</v>
      </c>
      <c r="J8" s="455" t="s">
        <v>55</v>
      </c>
      <c r="K8" s="458"/>
      <c r="L8" s="458"/>
      <c r="M8" s="540"/>
      <c r="N8" s="540"/>
      <c r="O8" s="62"/>
      <c r="P8" s="296"/>
      <c r="Q8" s="296"/>
      <c r="R8" s="296"/>
      <c r="S8" s="296"/>
      <c r="T8" s="296"/>
      <c r="U8" s="297"/>
      <c r="V8" s="297"/>
      <c r="W8" s="297"/>
    </row>
    <row r="9" spans="1:23" s="65" customFormat="1" x14ac:dyDescent="0.35">
      <c r="A9" s="459"/>
      <c r="B9" s="460"/>
      <c r="C9" s="460" t="s">
        <v>56</v>
      </c>
      <c r="D9" s="460"/>
      <c r="E9" s="546"/>
      <c r="F9" s="538"/>
      <c r="G9" s="540"/>
      <c r="H9" s="538"/>
      <c r="I9" s="460" t="s">
        <v>56</v>
      </c>
      <c r="J9" s="460"/>
      <c r="K9" s="458"/>
      <c r="L9" s="458"/>
      <c r="M9" s="540"/>
      <c r="N9" s="540"/>
      <c r="O9" s="62"/>
      <c r="P9" s="296"/>
      <c r="Q9" s="296"/>
      <c r="R9" s="296"/>
      <c r="S9" s="296"/>
      <c r="T9" s="296"/>
      <c r="U9" s="297"/>
      <c r="V9" s="297"/>
      <c r="W9" s="297"/>
    </row>
    <row r="10" spans="1:23" s="65" customFormat="1" x14ac:dyDescent="0.35">
      <c r="A10" s="461" t="s">
        <v>57</v>
      </c>
      <c r="B10" s="458">
        <f t="shared" ref="B10:M10" si="0">SUM(B11:B19)</f>
        <v>814991939.57000005</v>
      </c>
      <c r="C10" s="458">
        <f t="shared" si="0"/>
        <v>426743696.52999997</v>
      </c>
      <c r="D10" s="458">
        <f t="shared" si="0"/>
        <v>273894035.18000001</v>
      </c>
      <c r="E10" s="458">
        <f t="shared" si="0"/>
        <v>90894164.580000013</v>
      </c>
      <c r="F10" s="458">
        <f t="shared" si="0"/>
        <v>27758737.480000004</v>
      </c>
      <c r="G10" s="458">
        <f t="shared" si="0"/>
        <v>1634282573.3400002</v>
      </c>
      <c r="H10" s="458">
        <f t="shared" si="0"/>
        <v>811388768.74000001</v>
      </c>
      <c r="I10" s="458">
        <f t="shared" si="0"/>
        <v>0</v>
      </c>
      <c r="J10" s="458">
        <f t="shared" si="0"/>
        <v>0</v>
      </c>
      <c r="K10" s="458">
        <f t="shared" si="0"/>
        <v>0</v>
      </c>
      <c r="L10" s="458">
        <f t="shared" si="0"/>
        <v>0</v>
      </c>
      <c r="M10" s="458">
        <f t="shared" si="0"/>
        <v>811388768.74000001</v>
      </c>
      <c r="N10" s="458">
        <f>+G10+M10</f>
        <v>2445671342.0799999</v>
      </c>
      <c r="O10" s="62">
        <f>SUM(M11:M19)</f>
        <v>811388768.74000001</v>
      </c>
      <c r="P10" s="62"/>
      <c r="Q10" s="62"/>
      <c r="R10" s="62"/>
      <c r="S10" s="62"/>
      <c r="T10" s="62"/>
      <c r="U10" s="62"/>
      <c r="V10" s="62"/>
    </row>
    <row r="11" spans="1:23" x14ac:dyDescent="0.35">
      <c r="A11" s="462" t="s">
        <v>58</v>
      </c>
      <c r="B11" s="463">
        <f>8706995.7+358074283.22</f>
        <v>366781278.92000002</v>
      </c>
      <c r="C11" s="464">
        <v>197781893.47999999</v>
      </c>
      <c r="D11" s="463">
        <f>107556641.07+3978.4</f>
        <v>107560619.47</v>
      </c>
      <c r="E11" s="464">
        <f>23872729.76+18286832</f>
        <v>42159561.760000005</v>
      </c>
      <c r="F11" s="464">
        <v>15077545.880000001</v>
      </c>
      <c r="G11" s="465">
        <f>SUM(B11:F11)</f>
        <v>729360899.50999999</v>
      </c>
      <c r="H11" s="464">
        <v>418116350.5</v>
      </c>
      <c r="I11" s="464">
        <v>0</v>
      </c>
      <c r="J11" s="464">
        <v>0</v>
      </c>
      <c r="K11" s="464">
        <v>0</v>
      </c>
      <c r="L11" s="464">
        <v>0</v>
      </c>
      <c r="M11" s="466">
        <f>SUM(H11:J11)</f>
        <v>418116350.5</v>
      </c>
      <c r="N11" s="466">
        <f>SUM(G11+M11)</f>
        <v>1147477250.01</v>
      </c>
    </row>
    <row r="12" spans="1:23" x14ac:dyDescent="0.35">
      <c r="A12" s="467" t="s">
        <v>59</v>
      </c>
      <c r="B12" s="468"/>
      <c r="C12" s="468"/>
      <c r="D12" s="468"/>
      <c r="E12" s="468"/>
      <c r="F12" s="468"/>
      <c r="G12" s="469"/>
      <c r="H12" s="468"/>
      <c r="I12" s="468"/>
      <c r="J12" s="468"/>
      <c r="K12" s="468"/>
      <c r="L12" s="468"/>
      <c r="M12" s="469"/>
      <c r="N12" s="469"/>
      <c r="U12" s="97"/>
    </row>
    <row r="13" spans="1:23" x14ac:dyDescent="0.35">
      <c r="A13" s="462" t="s">
        <v>118</v>
      </c>
      <c r="B13" s="464">
        <f>8060502.87+415114373.35</f>
        <v>423174876.22000003</v>
      </c>
      <c r="C13" s="464">
        <v>213013823.25</v>
      </c>
      <c r="D13" s="464">
        <f>140571815.51+4814.8</f>
        <v>140576630.31</v>
      </c>
      <c r="E13" s="464">
        <f>33710856.27+14230886.55</f>
        <v>47941742.820000008</v>
      </c>
      <c r="F13" s="464">
        <v>12406538.75</v>
      </c>
      <c r="G13" s="465">
        <f>SUM(B13:F13)</f>
        <v>837113611.35000002</v>
      </c>
      <c r="H13" s="464">
        <v>379149980.01999998</v>
      </c>
      <c r="I13" s="464">
        <v>0</v>
      </c>
      <c r="J13" s="464">
        <v>0</v>
      </c>
      <c r="K13" s="464">
        <v>0</v>
      </c>
      <c r="L13" s="464">
        <v>0</v>
      </c>
      <c r="M13" s="466">
        <f>SUM(H13:J13)</f>
        <v>379149980.01999998</v>
      </c>
      <c r="N13" s="466">
        <f>SUM(G13+M13)</f>
        <v>1216263591.3699999</v>
      </c>
      <c r="P13" s="97">
        <f>1216263591.37-385182230.88-139974563.85-33744672.61-470853286.66-7482466-29238515.72-14490886.55</f>
        <v>135296969.09999982</v>
      </c>
      <c r="U13" s="97"/>
      <c r="V13" s="97"/>
    </row>
    <row r="14" spans="1:23" x14ac:dyDescent="0.35">
      <c r="A14" s="467" t="s">
        <v>60</v>
      </c>
      <c r="B14" s="468"/>
      <c r="C14" s="468"/>
      <c r="D14" s="468"/>
      <c r="E14" s="468"/>
      <c r="F14" s="468"/>
      <c r="G14" s="469"/>
      <c r="H14" s="468"/>
      <c r="I14" s="468"/>
      <c r="J14" s="468"/>
      <c r="K14" s="468"/>
      <c r="L14" s="468"/>
      <c r="M14" s="469"/>
      <c r="N14" s="469"/>
      <c r="P14" s="97">
        <f>+N13-522065154.93</f>
        <v>694198436.43999982</v>
      </c>
    </row>
    <row r="15" spans="1:23" x14ac:dyDescent="0.35">
      <c r="A15" s="462" t="s">
        <v>61</v>
      </c>
      <c r="B15" s="464">
        <f>285610.21+16075106.79</f>
        <v>16360717</v>
      </c>
      <c r="C15" s="470">
        <v>7447959.0300000003</v>
      </c>
      <c r="D15" s="470">
        <v>17476285.350000001</v>
      </c>
      <c r="E15" s="471" t="s">
        <v>84</v>
      </c>
      <c r="F15" s="464">
        <v>37418</v>
      </c>
      <c r="G15" s="465">
        <f>SUM(B15:F15)</f>
        <v>41322379.380000003</v>
      </c>
      <c r="H15" s="470">
        <v>6881853.5</v>
      </c>
      <c r="I15" s="464">
        <v>0</v>
      </c>
      <c r="J15" s="464">
        <v>0</v>
      </c>
      <c r="K15" s="464">
        <v>0</v>
      </c>
      <c r="L15" s="464">
        <v>0</v>
      </c>
      <c r="M15" s="466">
        <f>SUM(H15:J15)</f>
        <v>6881853.5</v>
      </c>
      <c r="N15" s="466">
        <f>SUM(G15+M15)</f>
        <v>48204232.880000003</v>
      </c>
      <c r="Q15" s="97">
        <f>+P14-33744672.61-139974563.85-385182230.88</f>
        <v>135296969.09999979</v>
      </c>
    </row>
    <row r="16" spans="1:23" x14ac:dyDescent="0.35">
      <c r="A16" s="467" t="s">
        <v>62</v>
      </c>
      <c r="B16" s="468"/>
      <c r="C16" s="468"/>
      <c r="D16" s="468"/>
      <c r="E16" s="468"/>
      <c r="F16" s="468"/>
      <c r="G16" s="469"/>
      <c r="H16" s="468"/>
      <c r="I16" s="468"/>
      <c r="J16" s="468"/>
      <c r="K16" s="468"/>
      <c r="L16" s="468"/>
      <c r="M16" s="469"/>
      <c r="N16" s="469"/>
      <c r="Q16" s="97">
        <f>135296969.1+385182230.88+139974563.85+33744672.61</f>
        <v>694198436.44000006</v>
      </c>
    </row>
    <row r="17" spans="1:20" x14ac:dyDescent="0.35">
      <c r="A17" s="462" t="s">
        <v>63</v>
      </c>
      <c r="B17" s="464">
        <f>54312+5873111.93</f>
        <v>5927423.9299999997</v>
      </c>
      <c r="C17" s="464">
        <v>4980041.38</v>
      </c>
      <c r="D17" s="464">
        <v>8045246.3799999999</v>
      </c>
      <c r="E17" s="471" t="s">
        <v>84</v>
      </c>
      <c r="F17" s="470">
        <v>147183.85</v>
      </c>
      <c r="G17" s="465">
        <f>SUM(B17:F17)</f>
        <v>19099895.539999999</v>
      </c>
      <c r="H17" s="470">
        <v>4498698.1900000004</v>
      </c>
      <c r="I17" s="464">
        <v>0</v>
      </c>
      <c r="J17" s="464">
        <v>0</v>
      </c>
      <c r="K17" s="464">
        <v>0</v>
      </c>
      <c r="L17" s="464">
        <v>0</v>
      </c>
      <c r="M17" s="466">
        <f>SUM(H17:J17)</f>
        <v>4498698.1900000004</v>
      </c>
      <c r="N17" s="466">
        <f>SUM(G17+M17)</f>
        <v>23598593.73</v>
      </c>
      <c r="Q17" s="97">
        <f>470853286.66+7482466+29238515.72+14490886.55</f>
        <v>522065154.93000001</v>
      </c>
    </row>
    <row r="18" spans="1:20" x14ac:dyDescent="0.35">
      <c r="A18" s="467" t="s">
        <v>64</v>
      </c>
      <c r="B18" s="468"/>
      <c r="C18" s="468"/>
      <c r="D18" s="468"/>
      <c r="E18" s="468"/>
      <c r="F18" s="468"/>
      <c r="G18" s="472"/>
      <c r="H18" s="468"/>
      <c r="I18" s="468"/>
      <c r="J18" s="468"/>
      <c r="K18" s="468"/>
      <c r="L18" s="468"/>
      <c r="M18" s="469"/>
      <c r="N18" s="469"/>
      <c r="Q18" s="97">
        <f>SUM(Q16:Q17)</f>
        <v>1216263591.3700001</v>
      </c>
    </row>
    <row r="19" spans="1:20" x14ac:dyDescent="0.35">
      <c r="A19" s="462" t="s">
        <v>77</v>
      </c>
      <c r="B19" s="464">
        <f>151175+2596468.5</f>
        <v>2747643.5</v>
      </c>
      <c r="C19" s="470">
        <v>3519979.39</v>
      </c>
      <c r="D19" s="464">
        <v>235253.67</v>
      </c>
      <c r="E19" s="464">
        <v>792860</v>
      </c>
      <c r="F19" s="470">
        <v>90051</v>
      </c>
      <c r="G19" s="465">
        <f>SUM(B19:F19)</f>
        <v>7385787.5600000005</v>
      </c>
      <c r="H19" s="470">
        <v>2741886.53</v>
      </c>
      <c r="I19" s="464">
        <v>0</v>
      </c>
      <c r="J19" s="464">
        <v>0</v>
      </c>
      <c r="K19" s="464">
        <v>0</v>
      </c>
      <c r="L19" s="464">
        <v>0</v>
      </c>
      <c r="M19" s="466">
        <f>SUM(H19:J19)</f>
        <v>2741886.53</v>
      </c>
      <c r="N19" s="466">
        <f>SUM(G19+M19)</f>
        <v>10127674.09</v>
      </c>
    </row>
    <row r="20" spans="1:20" x14ac:dyDescent="0.35">
      <c r="A20" s="473" t="s">
        <v>65</v>
      </c>
      <c r="B20" s="474"/>
      <c r="C20" s="474"/>
      <c r="D20" s="474"/>
      <c r="E20" s="474"/>
      <c r="F20" s="474"/>
      <c r="G20" s="475"/>
      <c r="H20" s="474"/>
      <c r="I20" s="474"/>
      <c r="J20" s="474"/>
      <c r="K20" s="474"/>
      <c r="L20" s="474"/>
      <c r="M20" s="476"/>
      <c r="N20" s="476"/>
      <c r="O20" s="97">
        <f>+G21+O21</f>
        <v>198902338.02000001</v>
      </c>
    </row>
    <row r="21" spans="1:20" ht="17.25" customHeight="1" x14ac:dyDescent="0.35">
      <c r="A21" s="467"/>
      <c r="B21" s="468"/>
      <c r="C21" s="468"/>
      <c r="D21" s="468"/>
      <c r="E21" s="468"/>
      <c r="F21" s="468"/>
      <c r="G21" s="477"/>
      <c r="H21" s="468"/>
      <c r="I21" s="468"/>
      <c r="J21" s="468"/>
      <c r="K21" s="468"/>
      <c r="L21" s="468"/>
      <c r="M21" s="469"/>
      <c r="N21" s="469"/>
      <c r="O21" s="97">
        <f>SUM(H22:J22)</f>
        <v>198902338.02000001</v>
      </c>
    </row>
    <row r="22" spans="1:20" s="65" customFormat="1" x14ac:dyDescent="0.35">
      <c r="A22" s="478" t="s">
        <v>66</v>
      </c>
      <c r="B22" s="458">
        <f t="shared" ref="B22:G22" si="1">SUM(B23:B40)</f>
        <v>55086502.32</v>
      </c>
      <c r="C22" s="458">
        <f>SUM(C23:C40)</f>
        <v>200610423.51999995</v>
      </c>
      <c r="D22" s="458">
        <f t="shared" si="1"/>
        <v>10770953.67</v>
      </c>
      <c r="E22" s="458">
        <f t="shared" si="1"/>
        <v>34465484.789999999</v>
      </c>
      <c r="F22" s="458">
        <f t="shared" si="1"/>
        <v>2906837.25</v>
      </c>
      <c r="G22" s="458">
        <f t="shared" si="1"/>
        <v>303840201.54999995</v>
      </c>
      <c r="H22" s="458">
        <f>SUM(H23:H40)</f>
        <v>163670750.5</v>
      </c>
      <c r="I22" s="458">
        <f t="shared" ref="I22:M22" si="2">SUM(I23:I40)</f>
        <v>22739004.580000002</v>
      </c>
      <c r="J22" s="458">
        <f t="shared" si="2"/>
        <v>12492582.940000001</v>
      </c>
      <c r="K22" s="458">
        <f t="shared" si="2"/>
        <v>0</v>
      </c>
      <c r="L22" s="458">
        <f t="shared" si="2"/>
        <v>0</v>
      </c>
      <c r="M22" s="458">
        <f t="shared" si="2"/>
        <v>198902338.01999998</v>
      </c>
      <c r="N22" s="458">
        <f>+G22+M22</f>
        <v>502742539.56999993</v>
      </c>
      <c r="O22" s="62">
        <f>+N10+N22</f>
        <v>2948413881.6499996</v>
      </c>
      <c r="P22" s="62"/>
      <c r="Q22" s="62"/>
      <c r="R22" s="62"/>
      <c r="S22" s="62"/>
      <c r="T22" s="62"/>
    </row>
    <row r="23" spans="1:20" s="65" customFormat="1" x14ac:dyDescent="0.35">
      <c r="A23" s="479" t="s">
        <v>67</v>
      </c>
      <c r="B23" s="480">
        <v>757810</v>
      </c>
      <c r="C23" s="480">
        <v>629136.17000000004</v>
      </c>
      <c r="D23" s="480">
        <v>168378.74</v>
      </c>
      <c r="E23" s="481" t="s">
        <v>84</v>
      </c>
      <c r="F23" s="480">
        <v>398370</v>
      </c>
      <c r="G23" s="482">
        <f t="shared" ref="G23:G41" si="3">SUM(B23:F23)</f>
        <v>1953694.91</v>
      </c>
      <c r="H23" s="480">
        <v>5318620.04</v>
      </c>
      <c r="I23" s="480">
        <v>374524.79</v>
      </c>
      <c r="J23" s="480">
        <v>205760.21</v>
      </c>
      <c r="K23" s="483"/>
      <c r="L23" s="483"/>
      <c r="M23" s="458">
        <f t="shared" ref="M23:M40" si="4">SUM(H23:L23)</f>
        <v>5898905.04</v>
      </c>
      <c r="N23" s="458">
        <f t="shared" ref="N23:N40" si="5">SUM(G23+M23)</f>
        <v>7852599.9500000002</v>
      </c>
      <c r="O23" s="62">
        <f>SUM(H22:M22)</f>
        <v>397804676.03999996</v>
      </c>
      <c r="P23" s="62"/>
      <c r="Q23" s="62"/>
      <c r="R23" s="62"/>
      <c r="S23" s="62"/>
      <c r="T23" s="62"/>
    </row>
    <row r="24" spans="1:20" s="65" customFormat="1" x14ac:dyDescent="0.35">
      <c r="A24" s="479" t="s">
        <v>68</v>
      </c>
      <c r="B24" s="480">
        <f>1945620.08+15000</f>
        <v>1960620.08</v>
      </c>
      <c r="C24" s="480">
        <v>456740.12</v>
      </c>
      <c r="D24" s="480">
        <v>69550.19</v>
      </c>
      <c r="E24" s="483">
        <v>355</v>
      </c>
      <c r="F24" s="480">
        <v>8200</v>
      </c>
      <c r="G24" s="482">
        <f t="shared" si="3"/>
        <v>2495465.39</v>
      </c>
      <c r="H24" s="480">
        <v>5263343.08</v>
      </c>
      <c r="I24" s="480">
        <v>535035.41</v>
      </c>
      <c r="J24" s="480">
        <v>293943.13</v>
      </c>
      <c r="K24" s="483"/>
      <c r="L24" s="483"/>
      <c r="M24" s="458">
        <f t="shared" si="4"/>
        <v>6092321.6200000001</v>
      </c>
      <c r="N24" s="458">
        <f t="shared" si="5"/>
        <v>8587787.0099999998</v>
      </c>
      <c r="O24" s="62">
        <f>SUM(N23:N40)</f>
        <v>502742539.56999993</v>
      </c>
      <c r="P24" s="62"/>
      <c r="Q24" s="62"/>
      <c r="R24" s="62"/>
      <c r="S24" s="62"/>
      <c r="T24" s="62"/>
    </row>
    <row r="25" spans="1:20" s="65" customFormat="1" x14ac:dyDescent="0.35">
      <c r="A25" s="479" t="s">
        <v>69</v>
      </c>
      <c r="B25" s="480">
        <f>88489+265920</f>
        <v>354409</v>
      </c>
      <c r="C25" s="480">
        <v>2880021.07</v>
      </c>
      <c r="D25" s="480">
        <v>507120.08</v>
      </c>
      <c r="E25" s="481" t="s">
        <v>84</v>
      </c>
      <c r="F25" s="480">
        <v>480146</v>
      </c>
      <c r="G25" s="482">
        <f t="shared" si="3"/>
        <v>4221696.1500000004</v>
      </c>
      <c r="H25" s="480">
        <v>16968649.100000001</v>
      </c>
      <c r="I25" s="480">
        <v>2889191.17</v>
      </c>
      <c r="J25" s="480">
        <v>1587292.91</v>
      </c>
      <c r="K25" s="483"/>
      <c r="L25" s="483"/>
      <c r="M25" s="458">
        <f t="shared" si="4"/>
        <v>21445133.180000003</v>
      </c>
      <c r="N25" s="458">
        <f t="shared" si="5"/>
        <v>25666829.330000006</v>
      </c>
      <c r="O25" s="62"/>
      <c r="P25" s="62"/>
      <c r="Q25" s="62"/>
      <c r="R25" s="62"/>
      <c r="S25" s="62"/>
      <c r="T25" s="62"/>
    </row>
    <row r="26" spans="1:20" s="65" customFormat="1" x14ac:dyDescent="0.35">
      <c r="A26" s="479" t="s">
        <v>70</v>
      </c>
      <c r="B26" s="480">
        <f>140773+958474</f>
        <v>1099247</v>
      </c>
      <c r="C26" s="480">
        <v>3299890.47</v>
      </c>
      <c r="D26" s="480">
        <v>594009.4</v>
      </c>
      <c r="E26" s="481" t="s">
        <v>84</v>
      </c>
      <c r="F26" s="480">
        <v>46030</v>
      </c>
      <c r="G26" s="482">
        <f t="shared" si="3"/>
        <v>5039176.870000001</v>
      </c>
      <c r="H26" s="480">
        <v>11007561.689999999</v>
      </c>
      <c r="I26" s="480">
        <v>1872623.91</v>
      </c>
      <c r="J26" s="480">
        <v>1028800.96</v>
      </c>
      <c r="K26" s="483"/>
      <c r="L26" s="483"/>
      <c r="M26" s="458">
        <f t="shared" si="4"/>
        <v>13908986.559999999</v>
      </c>
      <c r="N26" s="458">
        <f t="shared" si="5"/>
        <v>18948163.43</v>
      </c>
      <c r="O26" s="62">
        <f>+G22+M22</f>
        <v>502742539.56999993</v>
      </c>
      <c r="P26" s="62"/>
      <c r="Q26" s="62"/>
      <c r="R26" s="62"/>
      <c r="S26" s="62"/>
      <c r="T26" s="62"/>
    </row>
    <row r="27" spans="1:20" s="65" customFormat="1" x14ac:dyDescent="0.35">
      <c r="A27" s="479" t="s">
        <v>71</v>
      </c>
      <c r="B27" s="480">
        <f>551072.8+6318950</f>
        <v>6870022.7999999998</v>
      </c>
      <c r="C27" s="480">
        <v>4561180.6399999997</v>
      </c>
      <c r="D27" s="480">
        <v>116845.46</v>
      </c>
      <c r="E27" s="481">
        <v>1285</v>
      </c>
      <c r="F27" s="480">
        <v>127806.75</v>
      </c>
      <c r="G27" s="482">
        <f t="shared" si="3"/>
        <v>11677140.65</v>
      </c>
      <c r="H27" s="480">
        <v>12862725.84</v>
      </c>
      <c r="I27" s="480">
        <v>1551602.67</v>
      </c>
      <c r="J27" s="480">
        <v>852435.07</v>
      </c>
      <c r="K27" s="483"/>
      <c r="L27" s="483"/>
      <c r="M27" s="458">
        <f t="shared" si="4"/>
        <v>15266763.58</v>
      </c>
      <c r="N27" s="458">
        <f t="shared" si="5"/>
        <v>26943904.23</v>
      </c>
      <c r="O27" s="62"/>
      <c r="P27" s="62"/>
      <c r="Q27" s="62"/>
      <c r="R27" s="62"/>
      <c r="S27" s="62"/>
      <c r="T27" s="62"/>
    </row>
    <row r="28" spans="1:20" s="65" customFormat="1" x14ac:dyDescent="0.35">
      <c r="A28" s="479" t="s">
        <v>72</v>
      </c>
      <c r="B28" s="480">
        <f>8430929.3+17259221.76</f>
        <v>25690151.060000002</v>
      </c>
      <c r="C28" s="480">
        <v>153366729.78999999</v>
      </c>
      <c r="D28" s="480">
        <v>3609911.34</v>
      </c>
      <c r="E28" s="483">
        <f>1282315.5+33161209.54</f>
        <v>34443525.039999999</v>
      </c>
      <c r="F28" s="480">
        <v>532703</v>
      </c>
      <c r="G28" s="482">
        <f t="shared" si="3"/>
        <v>217643020.22999999</v>
      </c>
      <c r="H28" s="480">
        <v>17743080.68</v>
      </c>
      <c r="I28" s="480">
        <v>2514666.39</v>
      </c>
      <c r="J28" s="480">
        <v>1381532.7</v>
      </c>
      <c r="K28" s="483"/>
      <c r="L28" s="483"/>
      <c r="M28" s="458">
        <f t="shared" si="4"/>
        <v>21639279.77</v>
      </c>
      <c r="N28" s="458">
        <f t="shared" si="5"/>
        <v>239282300</v>
      </c>
      <c r="O28" s="62"/>
      <c r="P28" s="62"/>
      <c r="Q28" s="62"/>
      <c r="R28" s="62"/>
      <c r="S28" s="62"/>
      <c r="T28" s="62"/>
    </row>
    <row r="29" spans="1:20" s="65" customFormat="1" x14ac:dyDescent="0.35">
      <c r="A29" s="479" t="s">
        <v>73</v>
      </c>
      <c r="B29" s="480">
        <f>302731.38+3511205.75</f>
        <v>3813937.13</v>
      </c>
      <c r="C29" s="480">
        <v>4458127.2300000004</v>
      </c>
      <c r="D29" s="480">
        <v>1125686.83</v>
      </c>
      <c r="E29" s="481" t="s">
        <v>84</v>
      </c>
      <c r="F29" s="480">
        <v>244423.75</v>
      </c>
      <c r="G29" s="482">
        <f t="shared" si="3"/>
        <v>9642174.9400000013</v>
      </c>
      <c r="H29" s="480">
        <v>20806363.77</v>
      </c>
      <c r="I29" s="480">
        <v>2247148.67</v>
      </c>
      <c r="J29" s="480">
        <v>1234561.1499999999</v>
      </c>
      <c r="K29" s="483"/>
      <c r="L29" s="483"/>
      <c r="M29" s="458">
        <f t="shared" si="4"/>
        <v>24288073.589999996</v>
      </c>
      <c r="N29" s="458">
        <f t="shared" si="5"/>
        <v>33930248.530000001</v>
      </c>
      <c r="O29" s="62" t="e">
        <f>SUM(#REF!+N29)</f>
        <v>#REF!</v>
      </c>
      <c r="P29" s="62"/>
      <c r="Q29" s="62"/>
      <c r="R29" s="62"/>
      <c r="S29" s="62"/>
      <c r="T29" s="62"/>
    </row>
    <row r="30" spans="1:20" x14ac:dyDescent="0.35">
      <c r="A30" s="479" t="s">
        <v>116</v>
      </c>
      <c r="B30" s="480">
        <f>36587+328574.2</f>
        <v>365161.2</v>
      </c>
      <c r="C30" s="480">
        <v>915944.85</v>
      </c>
      <c r="D30" s="480">
        <v>91298.32</v>
      </c>
      <c r="E30" s="483">
        <v>20319.75</v>
      </c>
      <c r="F30" s="480">
        <v>288321.5</v>
      </c>
      <c r="G30" s="482">
        <f t="shared" si="3"/>
        <v>1681045.62</v>
      </c>
      <c r="H30" s="480">
        <v>13265459.02</v>
      </c>
      <c r="I30" s="480">
        <v>2354155.75</v>
      </c>
      <c r="J30" s="480">
        <v>1293352.7</v>
      </c>
      <c r="K30" s="483"/>
      <c r="L30" s="483"/>
      <c r="M30" s="458">
        <f t="shared" si="4"/>
        <v>16912967.469999999</v>
      </c>
      <c r="N30" s="458">
        <f t="shared" si="5"/>
        <v>18594013.09</v>
      </c>
      <c r="O30" s="97">
        <v>49108773.799999997</v>
      </c>
    </row>
    <row r="31" spans="1:20" x14ac:dyDescent="0.35">
      <c r="A31" s="479" t="s">
        <v>117</v>
      </c>
      <c r="B31" s="480">
        <f>439320.98+4204299.51</f>
        <v>4643620.49</v>
      </c>
      <c r="C31" s="480">
        <v>1547604.53</v>
      </c>
      <c r="D31" s="480">
        <v>193100.96</v>
      </c>
      <c r="E31" s="481" t="s">
        <v>84</v>
      </c>
      <c r="F31" s="480">
        <v>172112</v>
      </c>
      <c r="G31" s="482">
        <f t="shared" si="3"/>
        <v>6556437.9800000004</v>
      </c>
      <c r="H31" s="480">
        <v>16242133.48</v>
      </c>
      <c r="I31" s="480">
        <v>2568169.92</v>
      </c>
      <c r="J31" s="480">
        <v>1410927.01</v>
      </c>
      <c r="K31" s="483"/>
      <c r="L31" s="483"/>
      <c r="M31" s="458">
        <f t="shared" si="4"/>
        <v>20221230.41</v>
      </c>
      <c r="N31" s="458">
        <f t="shared" si="5"/>
        <v>26777668.390000001</v>
      </c>
    </row>
    <row r="32" spans="1:20" x14ac:dyDescent="0.35">
      <c r="A32" s="479" t="s">
        <v>74</v>
      </c>
      <c r="B32" s="480">
        <f>273978+113383</f>
        <v>387361</v>
      </c>
      <c r="C32" s="480">
        <v>533678.88</v>
      </c>
      <c r="D32" s="480">
        <v>20412.759999999998</v>
      </c>
      <c r="E32" s="481" t="s">
        <v>84</v>
      </c>
      <c r="F32" s="480">
        <v>25154</v>
      </c>
      <c r="G32" s="482">
        <f t="shared" si="3"/>
        <v>966606.64</v>
      </c>
      <c r="H32" s="480">
        <v>5268565.47</v>
      </c>
      <c r="I32" s="480">
        <v>1016567.25</v>
      </c>
      <c r="J32" s="480">
        <v>558491.92000000004</v>
      </c>
      <c r="K32" s="483"/>
      <c r="L32" s="483"/>
      <c r="M32" s="458">
        <f t="shared" si="4"/>
        <v>6843624.6399999997</v>
      </c>
      <c r="N32" s="458">
        <f t="shared" si="5"/>
        <v>7810231.2799999993</v>
      </c>
    </row>
    <row r="33" spans="1:20" x14ac:dyDescent="0.35">
      <c r="A33" s="479" t="s">
        <v>75</v>
      </c>
      <c r="B33" s="480">
        <f>172689+1070236</f>
        <v>1242925</v>
      </c>
      <c r="C33" s="480">
        <v>1877609.72</v>
      </c>
      <c r="D33" s="480">
        <v>66962.23</v>
      </c>
      <c r="E33" s="481" t="s">
        <v>84</v>
      </c>
      <c r="F33" s="480">
        <v>114330</v>
      </c>
      <c r="G33" s="482">
        <f t="shared" si="3"/>
        <v>3301826.9499999997</v>
      </c>
      <c r="H33" s="480">
        <v>4103914.5</v>
      </c>
      <c r="I33" s="480" t="s">
        <v>84</v>
      </c>
      <c r="J33" s="480" t="s">
        <v>84</v>
      </c>
      <c r="K33" s="483"/>
      <c r="L33" s="483"/>
      <c r="M33" s="458">
        <f t="shared" si="4"/>
        <v>4103914.5</v>
      </c>
      <c r="N33" s="458">
        <f t="shared" si="5"/>
        <v>7405741.4499999993</v>
      </c>
    </row>
    <row r="34" spans="1:20" x14ac:dyDescent="0.35">
      <c r="A34" s="479" t="s">
        <v>78</v>
      </c>
      <c r="B34" s="480">
        <f>2803+929943.91</f>
        <v>932746.91</v>
      </c>
      <c r="C34" s="480">
        <v>2327583.7999999998</v>
      </c>
      <c r="D34" s="480">
        <v>270203.27</v>
      </c>
      <c r="E34" s="481" t="s">
        <v>84</v>
      </c>
      <c r="F34" s="480">
        <v>46092.25</v>
      </c>
      <c r="G34" s="482">
        <f t="shared" si="3"/>
        <v>3576626.23</v>
      </c>
      <c r="H34" s="480">
        <v>13453212.18</v>
      </c>
      <c r="I34" s="480">
        <v>1712113.29</v>
      </c>
      <c r="J34" s="480">
        <v>940618.03</v>
      </c>
      <c r="K34" s="483"/>
      <c r="L34" s="483"/>
      <c r="M34" s="458">
        <f t="shared" si="4"/>
        <v>16105943.499999998</v>
      </c>
      <c r="N34" s="458">
        <f t="shared" si="5"/>
        <v>19682569.729999997</v>
      </c>
    </row>
    <row r="35" spans="1:20" x14ac:dyDescent="0.35">
      <c r="A35" s="479" t="s">
        <v>79</v>
      </c>
      <c r="B35" s="480">
        <f>6116+1061612.16</f>
        <v>1067728.1599999999</v>
      </c>
      <c r="C35" s="480">
        <v>248301.91</v>
      </c>
      <c r="D35" s="480">
        <v>15702.99</v>
      </c>
      <c r="E35" s="481" t="s">
        <v>84</v>
      </c>
      <c r="F35" s="480">
        <v>15969</v>
      </c>
      <c r="G35" s="482">
        <f t="shared" si="3"/>
        <v>1347702.0599999998</v>
      </c>
      <c r="H35" s="480">
        <v>4033591.38</v>
      </c>
      <c r="I35" s="480">
        <v>535035.42000000004</v>
      </c>
      <c r="J35" s="480">
        <v>293940.13</v>
      </c>
      <c r="K35" s="483"/>
      <c r="L35" s="483"/>
      <c r="M35" s="458">
        <f t="shared" si="4"/>
        <v>4862566.93</v>
      </c>
      <c r="N35" s="458">
        <f t="shared" si="5"/>
        <v>6210268.9899999993</v>
      </c>
    </row>
    <row r="36" spans="1:20" x14ac:dyDescent="0.35">
      <c r="A36" s="479" t="s">
        <v>80</v>
      </c>
      <c r="B36" s="480">
        <f>437858.81+33300</f>
        <v>471158.81</v>
      </c>
      <c r="C36" s="480">
        <v>156842.63</v>
      </c>
      <c r="D36" s="480">
        <v>22923.82</v>
      </c>
      <c r="E36" s="481" t="s">
        <v>84</v>
      </c>
      <c r="F36" s="480">
        <v>54390</v>
      </c>
      <c r="G36" s="482">
        <f t="shared" si="3"/>
        <v>705315.25999999989</v>
      </c>
      <c r="H36" s="480">
        <v>3381997.84</v>
      </c>
      <c r="I36" s="480">
        <v>642042.48</v>
      </c>
      <c r="J36" s="480">
        <v>352731.75</v>
      </c>
      <c r="K36" s="483"/>
      <c r="L36" s="483"/>
      <c r="M36" s="458">
        <f t="shared" si="4"/>
        <v>4376772.07</v>
      </c>
      <c r="N36" s="458">
        <f t="shared" si="5"/>
        <v>5082087.33</v>
      </c>
    </row>
    <row r="37" spans="1:20" x14ac:dyDescent="0.35">
      <c r="A37" s="479" t="s">
        <v>81</v>
      </c>
      <c r="B37" s="480">
        <f>648071.1+3600</f>
        <v>651671.1</v>
      </c>
      <c r="C37" s="480">
        <v>218880.76</v>
      </c>
      <c r="D37" s="480">
        <v>20851.11</v>
      </c>
      <c r="E37" s="481" t="s">
        <v>84</v>
      </c>
      <c r="F37" s="480">
        <v>15386</v>
      </c>
      <c r="G37" s="482">
        <f t="shared" si="3"/>
        <v>906788.97</v>
      </c>
      <c r="H37" s="480">
        <v>3256737.29</v>
      </c>
      <c r="I37" s="480">
        <v>481531.86</v>
      </c>
      <c r="J37" s="480">
        <v>264548.82</v>
      </c>
      <c r="K37" s="483"/>
      <c r="L37" s="483"/>
      <c r="M37" s="458">
        <f t="shared" si="4"/>
        <v>4002817.9699999997</v>
      </c>
      <c r="N37" s="458">
        <f t="shared" si="5"/>
        <v>4909606.9399999995</v>
      </c>
    </row>
    <row r="38" spans="1:20" x14ac:dyDescent="0.35">
      <c r="A38" s="484" t="s">
        <v>76</v>
      </c>
      <c r="B38" s="483">
        <f>1320+166250</f>
        <v>167570</v>
      </c>
      <c r="C38" s="480">
        <v>2134998.88</v>
      </c>
      <c r="D38" s="483">
        <v>1018114.43</v>
      </c>
      <c r="E38" s="481" t="s">
        <v>84</v>
      </c>
      <c r="F38" s="480">
        <v>48317</v>
      </c>
      <c r="G38" s="482">
        <f t="shared" si="3"/>
        <v>3369000.31</v>
      </c>
      <c r="H38" s="480">
        <v>4497114.93</v>
      </c>
      <c r="I38" s="480">
        <v>481531.86</v>
      </c>
      <c r="J38" s="480">
        <v>264548.82</v>
      </c>
      <c r="K38" s="483"/>
      <c r="L38" s="483"/>
      <c r="M38" s="458">
        <f t="shared" si="4"/>
        <v>5243195.6100000003</v>
      </c>
      <c r="N38" s="458">
        <f t="shared" si="5"/>
        <v>8612195.9199999999</v>
      </c>
    </row>
    <row r="39" spans="1:20" x14ac:dyDescent="0.35">
      <c r="A39" s="484" t="s">
        <v>82</v>
      </c>
      <c r="B39" s="483">
        <f>25531+3489640.58</f>
        <v>3515171.58</v>
      </c>
      <c r="C39" s="480">
        <v>3073229.07</v>
      </c>
      <c r="D39" s="483">
        <v>2661445.4</v>
      </c>
      <c r="E39" s="481" t="s">
        <v>84</v>
      </c>
      <c r="F39" s="480">
        <v>79150</v>
      </c>
      <c r="G39" s="482">
        <f t="shared" si="3"/>
        <v>9328996.0500000007</v>
      </c>
      <c r="H39" s="480">
        <v>2679189.59</v>
      </c>
      <c r="I39" s="480">
        <v>428028.32</v>
      </c>
      <c r="J39" s="480">
        <v>235154.5</v>
      </c>
      <c r="K39" s="483"/>
      <c r="L39" s="483"/>
      <c r="M39" s="458">
        <f t="shared" si="4"/>
        <v>3342372.4099999997</v>
      </c>
      <c r="N39" s="458">
        <f t="shared" si="5"/>
        <v>12671368.460000001</v>
      </c>
    </row>
    <row r="40" spans="1:20" x14ac:dyDescent="0.35">
      <c r="A40" s="484" t="s">
        <v>83</v>
      </c>
      <c r="B40" s="480">
        <f>450591+644600</f>
        <v>1095191</v>
      </c>
      <c r="C40" s="480">
        <v>17923923</v>
      </c>
      <c r="D40" s="480">
        <v>198436.34</v>
      </c>
      <c r="E40" s="481" t="s">
        <v>84</v>
      </c>
      <c r="F40" s="480">
        <v>209936</v>
      </c>
      <c r="G40" s="482">
        <f t="shared" si="3"/>
        <v>19427486.34</v>
      </c>
      <c r="H40" s="480">
        <v>3518490.62</v>
      </c>
      <c r="I40" s="480">
        <v>535035.42000000004</v>
      </c>
      <c r="J40" s="480">
        <v>293943.13</v>
      </c>
      <c r="K40" s="483"/>
      <c r="L40" s="483"/>
      <c r="M40" s="458">
        <f t="shared" si="4"/>
        <v>4347469.17</v>
      </c>
      <c r="N40" s="458">
        <f t="shared" si="5"/>
        <v>23774955.509999998</v>
      </c>
    </row>
    <row r="41" spans="1:20" s="65" customFormat="1" ht="18.600000000000001" thickBot="1" x14ac:dyDescent="0.4">
      <c r="A41" s="485" t="s">
        <v>17</v>
      </c>
      <c r="B41" s="486">
        <f t="shared" ref="B41" si="6">+B10+B22</f>
        <v>870078441.8900001</v>
      </c>
      <c r="C41" s="486">
        <f>+C10+C22</f>
        <v>627354120.04999995</v>
      </c>
      <c r="D41" s="486">
        <f t="shared" ref="D41:F41" si="7">+D10+D22</f>
        <v>284664988.85000002</v>
      </c>
      <c r="E41" s="486">
        <f t="shared" si="7"/>
        <v>125359649.37</v>
      </c>
      <c r="F41" s="486">
        <f t="shared" si="7"/>
        <v>30665574.730000004</v>
      </c>
      <c r="G41" s="486">
        <f t="shared" si="3"/>
        <v>1938122774.8899999</v>
      </c>
      <c r="H41" s="486">
        <f>+H10+H22</f>
        <v>975059519.24000001</v>
      </c>
      <c r="I41" s="486">
        <f>+I10+I22</f>
        <v>22739004.580000002</v>
      </c>
      <c r="J41" s="486">
        <f>+J10+J22</f>
        <v>12492582.940000001</v>
      </c>
      <c r="K41" s="486">
        <f t="shared" ref="K41:L41" si="8">+K10+K22</f>
        <v>0</v>
      </c>
      <c r="L41" s="486">
        <f t="shared" si="8"/>
        <v>0</v>
      </c>
      <c r="M41" s="486">
        <f>SUM(H41:J41)</f>
        <v>1010291106.7600001</v>
      </c>
      <c r="N41" s="486">
        <f>+G41+M41</f>
        <v>2948413881.6500001</v>
      </c>
      <c r="O41" s="62"/>
      <c r="P41" s="62"/>
      <c r="Q41" s="62"/>
      <c r="R41" s="62"/>
      <c r="S41" s="62"/>
      <c r="T41" s="62"/>
    </row>
    <row r="42" spans="1:20" ht="18.600000000000001" thickTop="1" x14ac:dyDescent="0.35">
      <c r="G42" s="488"/>
    </row>
    <row r="43" spans="1:20" x14ac:dyDescent="0.35">
      <c r="F43" s="489"/>
      <c r="G43" s="488"/>
    </row>
  </sheetData>
  <mergeCells count="12">
    <mergeCell ref="H7:H9"/>
    <mergeCell ref="M7:M9"/>
    <mergeCell ref="A1:N1"/>
    <mergeCell ref="A2:N2"/>
    <mergeCell ref="A3:N3"/>
    <mergeCell ref="M5:N5"/>
    <mergeCell ref="C6:G6"/>
    <mergeCell ref="H6:M6"/>
    <mergeCell ref="N6:N9"/>
    <mergeCell ref="E7:E9"/>
    <mergeCell ref="F7:F9"/>
    <mergeCell ref="G7:G9"/>
  </mergeCells>
  <pageMargins left="0.31496062992125984" right="0.11811023622047245" top="0.74803149606299213" bottom="0.74803149606299213" header="0.31496062992125984" footer="0.31496062992125984"/>
  <pageSetup paperSize="9" scale="60" orientation="landscape" r:id="rId1"/>
  <headerFooter>
    <oddHeader>&amp;R&amp;"+,ธรรมดา" 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P116"/>
  <sheetViews>
    <sheetView topLeftCell="A4" workbookViewId="0">
      <pane xSplit="1" ySplit="4" topLeftCell="C35" activePane="bottomRight" state="frozen"/>
      <selection activeCell="A4" sqref="A4"/>
      <selection pane="topRight" activeCell="B4" sqref="B4"/>
      <selection pane="bottomLeft" activeCell="A8" sqref="A8"/>
      <selection pane="bottomRight" activeCell="D42" sqref="D42"/>
    </sheetView>
  </sheetViews>
  <sheetFormatPr defaultColWidth="8.19921875" defaultRowHeight="18" x14ac:dyDescent="0.35"/>
  <cols>
    <col min="1" max="1" width="47.8984375" style="99" customWidth="1"/>
    <col min="2" max="2" width="20.09765625" style="97" customWidth="1"/>
    <col min="3" max="3" width="18.59765625" style="97" customWidth="1"/>
    <col min="4" max="4" width="19" style="97" customWidth="1"/>
    <col min="5" max="5" width="18.59765625" style="97" customWidth="1"/>
    <col min="6" max="6" width="20.3984375" style="97" customWidth="1"/>
    <col min="7" max="7" width="19.296875" style="98" customWidth="1"/>
    <col min="8" max="8" width="13.3984375" style="99" customWidth="1"/>
    <col min="9" max="9" width="14.3984375" style="97" customWidth="1"/>
    <col min="10" max="11" width="18.3984375" style="97" bestFit="1" customWidth="1"/>
    <col min="12" max="12" width="16.5" style="97" customWidth="1"/>
    <col min="13" max="13" width="21.296875" style="99" customWidth="1"/>
    <col min="14" max="14" width="13.19921875" style="99" bestFit="1" customWidth="1"/>
    <col min="15" max="15" width="16.796875" style="99" bestFit="1" customWidth="1"/>
    <col min="16" max="16" width="12.296875" style="99" bestFit="1" customWidth="1"/>
    <col min="17" max="16384" width="8.19921875" style="99"/>
  </cols>
  <sheetData>
    <row r="1" spans="1:16" s="56" customFormat="1" ht="23.4" x14ac:dyDescent="0.45">
      <c r="A1" s="556" t="s">
        <v>6</v>
      </c>
      <c r="B1" s="556"/>
      <c r="C1" s="556"/>
      <c r="D1" s="556"/>
      <c r="E1" s="556"/>
      <c r="F1" s="556"/>
      <c r="G1" s="556"/>
      <c r="H1" s="556"/>
      <c r="I1" s="556"/>
      <c r="J1" s="55"/>
      <c r="K1" s="55"/>
      <c r="L1" s="55"/>
      <c r="O1" s="57"/>
    </row>
    <row r="2" spans="1:16" s="56" customFormat="1" ht="23.4" x14ac:dyDescent="0.45">
      <c r="A2" s="556" t="s">
        <v>0</v>
      </c>
      <c r="B2" s="556"/>
      <c r="C2" s="556"/>
      <c r="D2" s="556"/>
      <c r="E2" s="556"/>
      <c r="F2" s="556"/>
      <c r="G2" s="556"/>
      <c r="H2" s="556"/>
      <c r="I2" s="556"/>
      <c r="J2" s="55"/>
      <c r="K2" s="55"/>
      <c r="L2" s="55"/>
    </row>
    <row r="3" spans="1:16" s="56" customFormat="1" ht="23.4" x14ac:dyDescent="0.45">
      <c r="A3" s="556" t="s">
        <v>39</v>
      </c>
      <c r="B3" s="556"/>
      <c r="C3" s="556"/>
      <c r="D3" s="556"/>
      <c r="E3" s="556"/>
      <c r="F3" s="556"/>
      <c r="G3" s="556"/>
      <c r="H3" s="556"/>
      <c r="I3" s="556"/>
      <c r="J3" s="55"/>
      <c r="K3" s="55"/>
      <c r="L3" s="55"/>
      <c r="M3" s="57"/>
    </row>
    <row r="4" spans="1:16" s="56" customFormat="1" ht="23.4" x14ac:dyDescent="0.45">
      <c r="A4" s="58" t="s">
        <v>88</v>
      </c>
      <c r="B4" s="55"/>
      <c r="C4" s="55"/>
      <c r="D4" s="55"/>
      <c r="E4" s="55"/>
      <c r="F4" s="55"/>
      <c r="G4" s="59"/>
      <c r="H4" s="60"/>
      <c r="I4" s="55"/>
      <c r="J4" s="55"/>
      <c r="K4" s="55"/>
      <c r="L4" s="55"/>
      <c r="M4" s="55"/>
    </row>
    <row r="5" spans="1:16" s="65" customFormat="1" x14ac:dyDescent="0.35">
      <c r="A5" s="61"/>
      <c r="B5" s="62"/>
      <c r="C5" s="62"/>
      <c r="D5" s="62"/>
      <c r="E5" s="62"/>
      <c r="F5" s="62"/>
      <c r="G5" s="59"/>
      <c r="H5" s="63"/>
      <c r="I5" s="64" t="s">
        <v>42</v>
      </c>
      <c r="J5" s="62"/>
      <c r="K5" s="62"/>
      <c r="L5" s="62"/>
      <c r="M5" s="62"/>
      <c r="O5" s="62"/>
      <c r="P5" s="63"/>
    </row>
    <row r="6" spans="1:16" s="167" customFormat="1" ht="23.4" x14ac:dyDescent="0.45">
      <c r="A6" s="66" t="s">
        <v>89</v>
      </c>
      <c r="B6" s="67" t="s">
        <v>90</v>
      </c>
      <c r="C6" s="67" t="s">
        <v>91</v>
      </c>
      <c r="D6" s="557" t="s">
        <v>4</v>
      </c>
      <c r="E6" s="559" t="s">
        <v>92</v>
      </c>
      <c r="F6" s="557" t="s">
        <v>93</v>
      </c>
      <c r="G6" s="561" t="s">
        <v>94</v>
      </c>
      <c r="H6" s="562" t="s">
        <v>95</v>
      </c>
      <c r="I6" s="559" t="s">
        <v>96</v>
      </c>
      <c r="J6" s="68"/>
      <c r="K6" s="68"/>
      <c r="L6" s="68"/>
    </row>
    <row r="7" spans="1:16" s="56" customFormat="1" ht="23.4" x14ac:dyDescent="0.45">
      <c r="A7" s="69"/>
      <c r="B7" s="70" t="s">
        <v>97</v>
      </c>
      <c r="C7" s="70" t="s">
        <v>97</v>
      </c>
      <c r="D7" s="558"/>
      <c r="E7" s="560"/>
      <c r="F7" s="558"/>
      <c r="G7" s="560"/>
      <c r="H7" s="560"/>
      <c r="I7" s="560"/>
      <c r="J7" s="55"/>
      <c r="K7" s="55"/>
      <c r="L7" s="55"/>
      <c r="M7" s="57"/>
    </row>
    <row r="8" spans="1:16" s="56" customFormat="1" ht="23.4" x14ac:dyDescent="0.45">
      <c r="A8" s="101" t="s">
        <v>98</v>
      </c>
      <c r="B8" s="102">
        <f>+B9+B10+B11+B12+B13+B14+B16+B17+B18+B19+B20+B21+B22+B23+B24+B25+B26+B27+B28+B29+B30+B31+B32+B33+B34+B35+B36+B37</f>
        <v>2141419050.1600001</v>
      </c>
      <c r="C8" s="102">
        <f>+C9+C10+C11+C12+C13+C14+C16+C17+C18+C19+C20+C21+C22+C23+C24+C25+C26+C27+C28+C29+C30+C31+C32+C33+C34+C35+C36+C37</f>
        <v>4881608.9400000004</v>
      </c>
      <c r="D8" s="102">
        <f>SUM(D9:D37)</f>
        <v>87617585.820000008</v>
      </c>
      <c r="E8" s="102">
        <f>+E9+E10+E11+E12+E13+E14+E16+E17+E18+E19+E20+E21+E22+E23+E24+E25+E26+E27+E28+E29+E30+E31+E32+E33+E35+E36+E37</f>
        <v>279477381.60999995</v>
      </c>
      <c r="F8" s="102">
        <f>+F9+F10+F11+F12+F13+F14+F16+F17+F18+F19+F20+F21+F22+F23+F24+F25+F26+F27+F28+F29+F30+F31+F32+F33+F35+F36+F37</f>
        <v>2513096802.8499999</v>
      </c>
      <c r="G8" s="176">
        <f>SUM(G9:G37)</f>
        <v>4952816</v>
      </c>
      <c r="H8" s="103"/>
      <c r="I8" s="102">
        <f>SUM(F8/G8)</f>
        <v>507.40766522519709</v>
      </c>
      <c r="J8" s="55"/>
      <c r="K8" s="55"/>
      <c r="L8" s="55"/>
    </row>
    <row r="9" spans="1:16" s="56" customFormat="1" ht="23.4" x14ac:dyDescent="0.45">
      <c r="A9" s="106" t="s">
        <v>301</v>
      </c>
      <c r="B9" s="71">
        <f>2081330666.3*0.59/100</f>
        <v>12279850.931169998</v>
      </c>
      <c r="C9" s="71">
        <f>5097584.96*0.59/100</f>
        <v>30075.751263999999</v>
      </c>
      <c r="D9" s="71">
        <f>85357848.85*0.59/100</f>
        <v>503611.30821499997</v>
      </c>
      <c r="E9" s="72">
        <f>273885241.98*0.59/100</f>
        <v>1615922.9276820002</v>
      </c>
      <c r="F9" s="73">
        <f t="shared" ref="F9:F14" si="0">+B9+C9+D9+E9</f>
        <v>14429460.918330997</v>
      </c>
      <c r="G9" s="74">
        <v>600</v>
      </c>
      <c r="H9" s="75" t="s">
        <v>100</v>
      </c>
      <c r="I9" s="76">
        <f>+(F9/G9)</f>
        <v>24049.101530551663</v>
      </c>
      <c r="J9" s="55"/>
      <c r="K9" s="55"/>
      <c r="L9" s="55"/>
    </row>
    <row r="10" spans="1:16" s="56" customFormat="1" ht="23.4" x14ac:dyDescent="0.45">
      <c r="A10" s="72" t="s">
        <v>300</v>
      </c>
      <c r="B10" s="71">
        <f>2081330666.3*0.2/100</f>
        <v>4162661.3325999998</v>
      </c>
      <c r="C10" s="71">
        <f>5097584.96*0.2/100</f>
        <v>10195.16992</v>
      </c>
      <c r="D10" s="71">
        <f>85357848.85*0.2/100</f>
        <v>170715.69769999999</v>
      </c>
      <c r="E10" s="72">
        <f>273885241.98*0.2/100</f>
        <v>547770.4839600001</v>
      </c>
      <c r="F10" s="73">
        <f t="shared" si="0"/>
        <v>4891342.6841799999</v>
      </c>
      <c r="G10" s="74">
        <v>200</v>
      </c>
      <c r="H10" s="75" t="s">
        <v>100</v>
      </c>
      <c r="I10" s="76">
        <f>+F10/G10</f>
        <v>24456.7134209</v>
      </c>
      <c r="J10" s="55"/>
      <c r="K10" s="55"/>
      <c r="L10" s="55"/>
    </row>
    <row r="11" spans="1:16" s="48" customFormat="1" ht="23.4" x14ac:dyDescent="0.45">
      <c r="A11" s="106" t="s">
        <v>198</v>
      </c>
      <c r="B11" s="71">
        <f>2081330666.3*18.13/100</f>
        <v>377345249.80018997</v>
      </c>
      <c r="C11" s="71">
        <f>5097584.96*18.13/100-200000</f>
        <v>724192.15324799996</v>
      </c>
      <c r="D11" s="71">
        <f>85357848.85*18.13/100</f>
        <v>15475377.996504998</v>
      </c>
      <c r="E11" s="72">
        <f>273885241.98*18.13/100</f>
        <v>49655394.370973997</v>
      </c>
      <c r="F11" s="73">
        <f t="shared" si="0"/>
        <v>443200214.32091701</v>
      </c>
      <c r="G11" s="78">
        <v>103461</v>
      </c>
      <c r="H11" s="75" t="s">
        <v>100</v>
      </c>
      <c r="I11" s="76">
        <f>+F11/G11</f>
        <v>4283.741838189434</v>
      </c>
      <c r="J11" s="47"/>
      <c r="K11" s="47"/>
      <c r="L11" s="47"/>
      <c r="M11" s="47"/>
    </row>
    <row r="12" spans="1:16" s="48" customFormat="1" ht="21" x14ac:dyDescent="0.4">
      <c r="A12" s="106" t="s">
        <v>199</v>
      </c>
      <c r="B12" s="71">
        <f>2081330666.3*2.24/100</f>
        <v>46621806.925120004</v>
      </c>
      <c r="C12" s="71">
        <f>5097584.96*2.24/100</f>
        <v>114185.90310400001</v>
      </c>
      <c r="D12" s="71">
        <f>85357848.85*2.24/100</f>
        <v>1912015.81424</v>
      </c>
      <c r="E12" s="72">
        <f>273885241.98*2.24/100</f>
        <v>6135029.4203520007</v>
      </c>
      <c r="F12" s="73">
        <f t="shared" si="0"/>
        <v>54783038.062816009</v>
      </c>
      <c r="G12" s="78">
        <v>14136</v>
      </c>
      <c r="H12" s="75" t="s">
        <v>100</v>
      </c>
      <c r="I12" s="73">
        <f t="shared" ref="I12:I19" si="1">SUM(F12/G12)</f>
        <v>3875.427140833051</v>
      </c>
      <c r="J12" s="47"/>
      <c r="K12" s="47"/>
      <c r="L12" s="47"/>
      <c r="M12" s="47"/>
    </row>
    <row r="13" spans="1:16" s="48" customFormat="1" ht="21" x14ac:dyDescent="0.4">
      <c r="A13" s="106" t="s">
        <v>200</v>
      </c>
      <c r="B13" s="71">
        <f>2081330666.3*7.47/100</f>
        <v>155475400.77261001</v>
      </c>
      <c r="C13" s="71">
        <f>5097584.96*7.47/100-16840.26</f>
        <v>363949.33651199995</v>
      </c>
      <c r="D13" s="71">
        <f>85357848.85*7.47/100</f>
        <v>6376231.309094999</v>
      </c>
      <c r="E13" s="72">
        <f>273885241.98*7.47/100</f>
        <v>20459227.575906001</v>
      </c>
      <c r="F13" s="73">
        <f t="shared" si="0"/>
        <v>182674808.99412301</v>
      </c>
      <c r="G13" s="78">
        <v>10939</v>
      </c>
      <c r="H13" s="75" t="s">
        <v>100</v>
      </c>
      <c r="I13" s="73">
        <f t="shared" si="1"/>
        <v>16699.406617983637</v>
      </c>
      <c r="J13" s="47"/>
      <c r="K13" s="47"/>
      <c r="L13" s="47"/>
      <c r="M13" s="47"/>
    </row>
    <row r="14" spans="1:16" s="48" customFormat="1" ht="21" x14ac:dyDescent="0.4">
      <c r="A14" s="147" t="s">
        <v>201</v>
      </c>
      <c r="B14" s="553">
        <f>2081330666.3*0.04/100</f>
        <v>832532.26651999995</v>
      </c>
      <c r="C14" s="554">
        <f>5097584.96*0.04/100</f>
        <v>2039.0339840000001</v>
      </c>
      <c r="D14" s="554">
        <f>85357848.85*0.04/100</f>
        <v>34143.139539999996</v>
      </c>
      <c r="E14" s="555">
        <f>273885241.98*0.04/100</f>
        <v>109554.09679200001</v>
      </c>
      <c r="F14" s="551">
        <f t="shared" si="0"/>
        <v>978268.53683599993</v>
      </c>
      <c r="G14" s="548">
        <v>60</v>
      </c>
      <c r="H14" s="550" t="s">
        <v>101</v>
      </c>
      <c r="I14" s="551">
        <f t="shared" si="1"/>
        <v>16304.475613933331</v>
      </c>
      <c r="J14" s="47"/>
      <c r="K14" s="47"/>
      <c r="L14" s="47"/>
      <c r="M14" s="80"/>
    </row>
    <row r="15" spans="1:16" s="48" customFormat="1" ht="21" x14ac:dyDescent="0.4">
      <c r="A15" s="146" t="s">
        <v>113</v>
      </c>
      <c r="B15" s="549"/>
      <c r="C15" s="552"/>
      <c r="D15" s="552"/>
      <c r="E15" s="552"/>
      <c r="F15" s="552"/>
      <c r="G15" s="549"/>
      <c r="H15" s="549"/>
      <c r="I15" s="552"/>
      <c r="J15" s="47"/>
      <c r="K15" s="47"/>
      <c r="L15" s="47"/>
      <c r="M15" s="47"/>
    </row>
    <row r="16" spans="1:16" s="48" customFormat="1" ht="36.6" x14ac:dyDescent="0.4">
      <c r="A16" s="106" t="s">
        <v>119</v>
      </c>
      <c r="B16" s="175">
        <f>39638.62+11081249.96+199800</f>
        <v>11320688.58</v>
      </c>
      <c r="C16" s="175">
        <v>0</v>
      </c>
      <c r="D16" s="175">
        <v>37642.879999999997</v>
      </c>
      <c r="E16" s="174">
        <v>653000.44999999995</v>
      </c>
      <c r="F16" s="173">
        <f t="shared" ref="F16:F24" si="2">+B16+C16+D16+E16</f>
        <v>12011331.91</v>
      </c>
      <c r="G16" s="303">
        <v>10</v>
      </c>
      <c r="H16" s="304" t="s">
        <v>102</v>
      </c>
      <c r="I16" s="173">
        <f t="shared" si="1"/>
        <v>1201133.1910000001</v>
      </c>
      <c r="J16" s="47"/>
      <c r="K16" s="47"/>
      <c r="L16" s="47"/>
      <c r="M16" s="47"/>
    </row>
    <row r="17" spans="1:13" s="48" customFormat="1" ht="21" x14ac:dyDescent="0.4">
      <c r="A17" s="72" t="s">
        <v>202</v>
      </c>
      <c r="B17" s="71">
        <f>2081330666.3*2.42/100</f>
        <v>50368202.124460004</v>
      </c>
      <c r="C17" s="71">
        <f>5097584.96*2.42/100</f>
        <v>123361.55603199999</v>
      </c>
      <c r="D17" s="71">
        <f>85357848.85*2.42/100</f>
        <v>2065659.9421699997</v>
      </c>
      <c r="E17" s="72">
        <f>273885241.98*2.42/100</f>
        <v>6628022.8559160009</v>
      </c>
      <c r="F17" s="73">
        <f t="shared" si="2"/>
        <v>59185246.478578009</v>
      </c>
      <c r="G17" s="78">
        <v>12479</v>
      </c>
      <c r="H17" s="75" t="s">
        <v>100</v>
      </c>
      <c r="I17" s="73">
        <f t="shared" si="1"/>
        <v>4742.7876014566882</v>
      </c>
      <c r="J17" s="47"/>
      <c r="K17" s="47"/>
      <c r="L17" s="47"/>
      <c r="M17" s="47"/>
    </row>
    <row r="18" spans="1:13" s="48" customFormat="1" ht="36.6" x14ac:dyDescent="0.4">
      <c r="A18" s="106" t="s">
        <v>299</v>
      </c>
      <c r="B18" s="71">
        <f>2081330666.3*2.19/100</f>
        <v>45581141.591969997</v>
      </c>
      <c r="C18" s="71">
        <f>5097584.96*2.19/100</f>
        <v>111637.11062400001</v>
      </c>
      <c r="D18" s="71">
        <f>85357848.85*2.19/100</f>
        <v>1869336.8898149997</v>
      </c>
      <c r="E18" s="72">
        <f>273885241.98*2.19/100</f>
        <v>5998086.7993620001</v>
      </c>
      <c r="F18" s="73">
        <f t="shared" si="2"/>
        <v>53560202.391771004</v>
      </c>
      <c r="G18" s="78">
        <v>11869</v>
      </c>
      <c r="H18" s="75" t="s">
        <v>100</v>
      </c>
      <c r="I18" s="73">
        <f t="shared" si="1"/>
        <v>4512.6128900304157</v>
      </c>
      <c r="J18" s="47"/>
      <c r="K18" s="47"/>
      <c r="L18" s="47"/>
      <c r="M18" s="47"/>
    </row>
    <row r="19" spans="1:13" s="48" customFormat="1" ht="21" x14ac:dyDescent="0.4">
      <c r="A19" s="72" t="s">
        <v>114</v>
      </c>
      <c r="B19" s="71">
        <f>29910+4061147.47</f>
        <v>4091057.47</v>
      </c>
      <c r="C19" s="71">
        <v>864.24</v>
      </c>
      <c r="D19" s="71">
        <v>16847.810000000001</v>
      </c>
      <c r="E19" s="72">
        <v>32456.21</v>
      </c>
      <c r="F19" s="73">
        <f t="shared" si="2"/>
        <v>4141225.7300000004</v>
      </c>
      <c r="G19" s="78">
        <v>3</v>
      </c>
      <c r="H19" s="75" t="s">
        <v>104</v>
      </c>
      <c r="I19" s="73">
        <f t="shared" si="1"/>
        <v>1380408.5766666669</v>
      </c>
      <c r="J19" s="47"/>
      <c r="K19" s="47"/>
      <c r="L19" s="47"/>
      <c r="M19" s="47"/>
    </row>
    <row r="20" spans="1:13" s="48" customFormat="1" ht="36.6" x14ac:dyDescent="0.4">
      <c r="A20" s="106" t="s">
        <v>115</v>
      </c>
      <c r="B20" s="175">
        <f>6000+1420948</f>
        <v>1426948</v>
      </c>
      <c r="C20" s="175">
        <v>0</v>
      </c>
      <c r="D20" s="175">
        <v>132660</v>
      </c>
      <c r="E20" s="174">
        <f>117577+500000</f>
        <v>617577</v>
      </c>
      <c r="F20" s="173">
        <f t="shared" si="2"/>
        <v>2177185</v>
      </c>
      <c r="G20" s="303">
        <v>25924</v>
      </c>
      <c r="H20" s="304" t="s">
        <v>100</v>
      </c>
      <c r="I20" s="173">
        <f>SUM(F20/G20)</f>
        <v>83.983374479247033</v>
      </c>
      <c r="J20" s="47"/>
      <c r="K20" s="47"/>
      <c r="L20" s="47"/>
      <c r="M20" s="47"/>
    </row>
    <row r="21" spans="1:13" s="48" customFormat="1" ht="21" x14ac:dyDescent="0.4">
      <c r="A21" s="106" t="s">
        <v>298</v>
      </c>
      <c r="B21" s="71">
        <f>2081330666.3*0.64/100</f>
        <v>13320516.264319999</v>
      </c>
      <c r="C21" s="71">
        <f>5097584.96*0.64/100</f>
        <v>32624.543744000002</v>
      </c>
      <c r="D21" s="71">
        <f>85357848.85*0.64/100</f>
        <v>546290.23263999994</v>
      </c>
      <c r="E21" s="72">
        <f>273885241.98*0.64/100</f>
        <v>1752865.5486720002</v>
      </c>
      <c r="F21" s="73">
        <f t="shared" si="2"/>
        <v>15652296.589375999</v>
      </c>
      <c r="G21" s="78">
        <v>4063</v>
      </c>
      <c r="H21" s="75" t="s">
        <v>100</v>
      </c>
      <c r="I21" s="73">
        <f t="shared" ref="I21:I25" si="3">SUM(F21/G21)</f>
        <v>3852.3988652168346</v>
      </c>
      <c r="J21" s="47"/>
      <c r="K21" s="47"/>
      <c r="L21" s="47"/>
      <c r="M21" s="47"/>
    </row>
    <row r="22" spans="1:13" s="48" customFormat="1" ht="21" x14ac:dyDescent="0.4">
      <c r="A22" s="106" t="s">
        <v>205</v>
      </c>
      <c r="B22" s="71">
        <f>2081330666.3*1.24/100</f>
        <v>25808500.262119997</v>
      </c>
      <c r="C22" s="71">
        <f>5097584.96*1.24/100</f>
        <v>63210.053503999996</v>
      </c>
      <c r="D22" s="71">
        <f>85357848.85*1.24/100+1023538.32</f>
        <v>2081975.6457399996</v>
      </c>
      <c r="E22" s="72">
        <f>273885241.98*1.24/100+4191273.67</f>
        <v>7587450.6705520004</v>
      </c>
      <c r="F22" s="73">
        <f t="shared" si="2"/>
        <v>35541136.631916001</v>
      </c>
      <c r="G22" s="78">
        <v>36832</v>
      </c>
      <c r="H22" s="75" t="s">
        <v>100</v>
      </c>
      <c r="I22" s="73">
        <f t="shared" si="3"/>
        <v>964.95266702639015</v>
      </c>
      <c r="J22" s="47"/>
      <c r="K22" s="47"/>
      <c r="L22" s="47"/>
      <c r="M22" s="47"/>
    </row>
    <row r="23" spans="1:13" s="48" customFormat="1" ht="21" x14ac:dyDescent="0.4">
      <c r="A23" s="72" t="s">
        <v>206</v>
      </c>
      <c r="B23" s="71">
        <f>2081330666.3*0.09/100</f>
        <v>1873197.5996699997</v>
      </c>
      <c r="C23" s="71">
        <f>5097584.96*0.09/100</f>
        <v>4587.8264639999998</v>
      </c>
      <c r="D23" s="71">
        <f>85357848.85*0.09/100</f>
        <v>76822.063964999994</v>
      </c>
      <c r="E23" s="72">
        <f>273885241.98*0.09/100</f>
        <v>246496.71778199999</v>
      </c>
      <c r="F23" s="73">
        <f t="shared" si="2"/>
        <v>2201104.2078809994</v>
      </c>
      <c r="G23" s="78">
        <v>129</v>
      </c>
      <c r="H23" s="75" t="s">
        <v>99</v>
      </c>
      <c r="I23" s="73">
        <f t="shared" si="3"/>
        <v>17062.823316906972</v>
      </c>
      <c r="J23" s="47"/>
      <c r="K23" s="47"/>
      <c r="L23" s="47"/>
      <c r="M23" s="47"/>
    </row>
    <row r="24" spans="1:13" s="48" customFormat="1" ht="21" x14ac:dyDescent="0.4">
      <c r="A24" s="106" t="s">
        <v>297</v>
      </c>
      <c r="B24" s="71">
        <f>2081330666.3*0.76/100</f>
        <v>15818113.06388</v>
      </c>
      <c r="C24" s="71">
        <f>5097584.96*0.76/100</f>
        <v>38741.645696</v>
      </c>
      <c r="D24" s="71">
        <f>85357848.85*0.76/100</f>
        <v>648719.65125999996</v>
      </c>
      <c r="E24" s="72">
        <f>273885241.98*0.76/100</f>
        <v>2081527.8390480003</v>
      </c>
      <c r="F24" s="73">
        <f t="shared" si="2"/>
        <v>18587102.199884001</v>
      </c>
      <c r="G24" s="78">
        <v>5071</v>
      </c>
      <c r="H24" s="75" t="s">
        <v>100</v>
      </c>
      <c r="I24" s="73">
        <f t="shared" si="3"/>
        <v>3665.3721553705386</v>
      </c>
      <c r="J24" s="47"/>
      <c r="K24" s="47"/>
      <c r="L24" s="47"/>
      <c r="M24" s="47"/>
    </row>
    <row r="25" spans="1:13" s="48" customFormat="1" ht="21" x14ac:dyDescent="0.4">
      <c r="A25" s="72" t="s">
        <v>120</v>
      </c>
      <c r="B25" s="71">
        <v>4555666.55</v>
      </c>
      <c r="C25" s="71">
        <v>0</v>
      </c>
      <c r="D25" s="71">
        <v>31380.51</v>
      </c>
      <c r="E25" s="72">
        <v>97832.3</v>
      </c>
      <c r="F25" s="73">
        <f>+B25+C25+D25+E25</f>
        <v>4684879.3599999994</v>
      </c>
      <c r="G25" s="78">
        <v>246</v>
      </c>
      <c r="H25" s="75" t="s">
        <v>100</v>
      </c>
      <c r="I25" s="73">
        <f t="shared" si="3"/>
        <v>19044.225040650403</v>
      </c>
      <c r="J25" s="47"/>
      <c r="K25" s="47"/>
      <c r="L25" s="47"/>
      <c r="M25" s="47"/>
    </row>
    <row r="26" spans="1:13" s="48" customFormat="1" ht="21" x14ac:dyDescent="0.4">
      <c r="A26" s="72" t="s">
        <v>208</v>
      </c>
      <c r="B26" s="71">
        <f>2081330666.3*1.29/100</f>
        <v>26849165.59527</v>
      </c>
      <c r="C26" s="71">
        <f>5097584.96*1.29/100</f>
        <v>65758.845984</v>
      </c>
      <c r="D26" s="71">
        <f>85357848.85*1.29/100</f>
        <v>1101116.2501649999</v>
      </c>
      <c r="E26" s="72">
        <f>273885241.98*1.29/100</f>
        <v>3533119.6215420002</v>
      </c>
      <c r="F26" s="73">
        <f>+B26+C26+D26+E26</f>
        <v>31549160.312961001</v>
      </c>
      <c r="G26" s="78">
        <v>2003</v>
      </c>
      <c r="H26" s="75" t="s">
        <v>100</v>
      </c>
      <c r="I26" s="73">
        <f t="shared" ref="I26:I37" si="4">SUM(F26/G26)</f>
        <v>15750.953725891663</v>
      </c>
      <c r="J26" s="47"/>
      <c r="K26" s="47"/>
      <c r="L26" s="47"/>
      <c r="M26" s="47"/>
    </row>
    <row r="27" spans="1:13" s="48" customFormat="1" ht="21" x14ac:dyDescent="0.4">
      <c r="A27" s="72" t="s">
        <v>357</v>
      </c>
      <c r="B27" s="71">
        <f>2081330666.3*0.53/100</f>
        <v>11031052.53139</v>
      </c>
      <c r="C27" s="71">
        <f>5097584.96*0.53/100</f>
        <v>27017.200288</v>
      </c>
      <c r="D27" s="71">
        <f>85357848.85*0.53/100+500000</f>
        <v>952396.59890500002</v>
      </c>
      <c r="E27" s="72">
        <f>273885241.98*0.53/100</f>
        <v>1451591.7824940002</v>
      </c>
      <c r="F27" s="73">
        <f>+B27+C27+D27+E27</f>
        <v>13462058.113077</v>
      </c>
      <c r="G27" s="78">
        <v>35</v>
      </c>
      <c r="H27" s="75" t="s">
        <v>101</v>
      </c>
      <c r="I27" s="73">
        <f t="shared" si="4"/>
        <v>384630.23180219997</v>
      </c>
      <c r="J27" s="47"/>
      <c r="K27" s="47"/>
      <c r="L27" s="47"/>
      <c r="M27" s="47"/>
    </row>
    <row r="28" spans="1:13" s="48" customFormat="1" ht="36.6" x14ac:dyDescent="0.4">
      <c r="A28" s="106" t="s">
        <v>358</v>
      </c>
      <c r="B28" s="71">
        <f>2081330666.3*15.22/100</f>
        <v>316778527.41086</v>
      </c>
      <c r="C28" s="71">
        <f>5097584.96*15.22/100</f>
        <v>775852.43091200013</v>
      </c>
      <c r="D28" s="71">
        <f>85357848.85*15.22/100</f>
        <v>12991464.594969999</v>
      </c>
      <c r="E28" s="72">
        <f>273885241.98*15.22/100</f>
        <v>41685333.829356</v>
      </c>
      <c r="F28" s="73">
        <f>+B28+C28+D28+E28</f>
        <v>372231178.26609802</v>
      </c>
      <c r="G28" s="78">
        <v>4391901</v>
      </c>
      <c r="H28" s="75" t="s">
        <v>100</v>
      </c>
      <c r="I28" s="73">
        <f t="shared" si="4"/>
        <v>84.754000207677279</v>
      </c>
      <c r="J28" s="47"/>
      <c r="K28" s="47"/>
      <c r="L28" s="47"/>
      <c r="M28" s="47"/>
    </row>
    <row r="29" spans="1:13" s="48" customFormat="1" ht="21" x14ac:dyDescent="0.4">
      <c r="A29" s="106" t="s">
        <v>348</v>
      </c>
      <c r="B29" s="71">
        <f>2081330666.3*0.5/100+38395199.58</f>
        <v>48801852.911499999</v>
      </c>
      <c r="C29" s="71">
        <f>5097584.96*0.5/100</f>
        <v>25487.924800000001</v>
      </c>
      <c r="D29" s="71">
        <f>85357848.85*0.5/100+517667.45</f>
        <v>944456.69424999994</v>
      </c>
      <c r="E29" s="72">
        <f>273885241.98*0.5/100</f>
        <v>1369426.2099000001</v>
      </c>
      <c r="F29" s="73">
        <f t="shared" ref="F29:F37" si="5">+B29+C29+D29+E29</f>
        <v>51141223.740450002</v>
      </c>
      <c r="G29" s="78">
        <v>21</v>
      </c>
      <c r="H29" s="75" t="s">
        <v>102</v>
      </c>
      <c r="I29" s="73">
        <f t="shared" si="4"/>
        <v>2435296.3685928574</v>
      </c>
      <c r="J29" s="47"/>
      <c r="K29" s="47"/>
      <c r="L29" s="47"/>
      <c r="M29" s="47"/>
    </row>
    <row r="30" spans="1:13" s="48" customFormat="1" ht="21" x14ac:dyDescent="0.4">
      <c r="A30" s="72" t="s">
        <v>349</v>
      </c>
      <c r="B30" s="71">
        <f>2081330666.3*0.16/100</f>
        <v>3330129.0660799998</v>
      </c>
      <c r="C30" s="71">
        <f>5097584.96*0.16/100</f>
        <v>8156.1359360000006</v>
      </c>
      <c r="D30" s="71">
        <f>85357848.85*0.16/100</f>
        <v>136572.55815999999</v>
      </c>
      <c r="E30" s="72">
        <f>273885241.98*0.16/100</f>
        <v>438216.38716800004</v>
      </c>
      <c r="F30" s="73">
        <f t="shared" si="5"/>
        <v>3913074.1473439997</v>
      </c>
      <c r="G30" s="78">
        <v>114</v>
      </c>
      <c r="H30" s="75" t="s">
        <v>100</v>
      </c>
      <c r="I30" s="73">
        <f t="shared" si="4"/>
        <v>34325.211818807016</v>
      </c>
      <c r="J30" s="47"/>
      <c r="K30" s="47"/>
      <c r="L30" s="47"/>
      <c r="M30" s="47"/>
    </row>
    <row r="31" spans="1:13" s="48" customFormat="1" ht="36.6" x14ac:dyDescent="0.4">
      <c r="A31" s="106" t="s">
        <v>359</v>
      </c>
      <c r="B31" s="175">
        <f>2081330666.3*0.36/100</f>
        <v>7492790.3986799987</v>
      </c>
      <c r="C31" s="175">
        <f>5097584.96*0.36/100</f>
        <v>18351.305855999999</v>
      </c>
      <c r="D31" s="175">
        <f>85357848.85*0.36/100</f>
        <v>307288.25585999998</v>
      </c>
      <c r="E31" s="174">
        <f>273885241.98*0.36/100</f>
        <v>985986.87112799997</v>
      </c>
      <c r="F31" s="173">
        <f t="shared" si="5"/>
        <v>8804416.8315239977</v>
      </c>
      <c r="G31" s="303">
        <v>5</v>
      </c>
      <c r="H31" s="304" t="s">
        <v>105</v>
      </c>
      <c r="I31" s="173">
        <f t="shared" si="4"/>
        <v>1760883.3663047994</v>
      </c>
      <c r="J31" s="47"/>
      <c r="K31" s="47"/>
      <c r="L31" s="47"/>
      <c r="M31" s="47"/>
    </row>
    <row r="32" spans="1:13" s="48" customFormat="1" ht="21" x14ac:dyDescent="0.4">
      <c r="A32" s="106" t="s">
        <v>360</v>
      </c>
      <c r="B32" s="71">
        <f>2081330666.3*3.47/100</f>
        <v>72222174.120609999</v>
      </c>
      <c r="C32" s="71">
        <f>5097584.96*3.47/100</f>
        <v>176886.19811200001</v>
      </c>
      <c r="D32" s="71">
        <f>85357848.85*3.47/100</f>
        <v>2961917.3550949995</v>
      </c>
      <c r="E32" s="72">
        <f>273885241.98*3.47/100</f>
        <v>9503817.8967060018</v>
      </c>
      <c r="F32" s="73">
        <f t="shared" si="5"/>
        <v>84864795.570522994</v>
      </c>
      <c r="G32" s="78">
        <v>31569</v>
      </c>
      <c r="H32" s="75" t="s">
        <v>100</v>
      </c>
      <c r="I32" s="73">
        <f t="shared" si="4"/>
        <v>2688.2319861421961</v>
      </c>
      <c r="J32" s="47"/>
      <c r="K32" s="47"/>
      <c r="L32" s="47"/>
      <c r="M32" s="47"/>
    </row>
    <row r="33" spans="1:13" s="48" customFormat="1" ht="21" x14ac:dyDescent="0.4">
      <c r="A33" s="72" t="s">
        <v>361</v>
      </c>
      <c r="B33" s="71">
        <f>2081330666.3*1.2/100</f>
        <v>24975967.9956</v>
      </c>
      <c r="C33" s="71">
        <f>5097584.96*1.2/100</f>
        <v>61171.019519999994</v>
      </c>
      <c r="D33" s="71">
        <f>85357848.85*1.2/100</f>
        <v>1024294.1861999999</v>
      </c>
      <c r="E33" s="72">
        <f>273885241.98*1.2/100</f>
        <v>3286622.9037599997</v>
      </c>
      <c r="F33" s="73">
        <f t="shared" si="5"/>
        <v>29348056.105080001</v>
      </c>
      <c r="G33" s="78">
        <v>8200</v>
      </c>
      <c r="H33" s="75" t="s">
        <v>100</v>
      </c>
      <c r="I33" s="73">
        <f t="shared" si="4"/>
        <v>3579.0312323268295</v>
      </c>
      <c r="J33" s="47"/>
      <c r="K33" s="47"/>
      <c r="L33" s="47"/>
      <c r="M33" s="47"/>
    </row>
    <row r="34" spans="1:13" s="48" customFormat="1" ht="21" x14ac:dyDescent="0.4">
      <c r="A34" s="148" t="s">
        <v>353</v>
      </c>
      <c r="B34" s="71">
        <v>298823.67999999999</v>
      </c>
      <c r="C34" s="71"/>
      <c r="D34" s="71">
        <v>0</v>
      </c>
      <c r="E34" s="72"/>
      <c r="F34" s="73">
        <f t="shared" si="5"/>
        <v>298823.67999999999</v>
      </c>
      <c r="G34" s="78">
        <v>170</v>
      </c>
      <c r="H34" s="75" t="s">
        <v>100</v>
      </c>
      <c r="I34" s="73">
        <f t="shared" si="4"/>
        <v>1757.7863529411763</v>
      </c>
      <c r="J34" s="47"/>
      <c r="K34" s="47"/>
      <c r="L34" s="47"/>
      <c r="M34" s="47"/>
    </row>
    <row r="35" spans="1:13" s="48" customFormat="1" ht="36.6" x14ac:dyDescent="0.4">
      <c r="A35" s="106" t="s">
        <v>354</v>
      </c>
      <c r="B35" s="175">
        <f>2081330666.3*4.42/100</f>
        <v>91994815.450460002</v>
      </c>
      <c r="C35" s="175">
        <f>5097584.96*4.42/100</f>
        <v>225313.25523199997</v>
      </c>
      <c r="D35" s="175">
        <f>85357848.85*4.42/100</f>
        <v>3772816.9191700001</v>
      </c>
      <c r="E35" s="174">
        <f>273885241.98*4.42/100</f>
        <v>12105727.695516</v>
      </c>
      <c r="F35" s="173">
        <f t="shared" si="5"/>
        <v>108098673.32037802</v>
      </c>
      <c r="G35" s="303">
        <v>10939</v>
      </c>
      <c r="H35" s="304" t="s">
        <v>100</v>
      </c>
      <c r="I35" s="173">
        <f t="shared" si="4"/>
        <v>9881.9520358696427</v>
      </c>
      <c r="J35" s="47"/>
      <c r="K35" s="47"/>
      <c r="L35" s="47"/>
      <c r="M35" s="47"/>
    </row>
    <row r="36" spans="1:13" s="48" customFormat="1" ht="21" x14ac:dyDescent="0.4">
      <c r="A36" s="72" t="s">
        <v>355</v>
      </c>
      <c r="B36" s="71">
        <f>2081330666.3*31.61/100</f>
        <v>657908623.61742997</v>
      </c>
      <c r="C36" s="71">
        <f>5097584.96*31.61/100</f>
        <v>1611346.605856</v>
      </c>
      <c r="D36" s="71">
        <f>85357848.85*31.61/100</f>
        <v>26981616.021485001</v>
      </c>
      <c r="E36" s="72">
        <f>273885241.98*31.61/100</f>
        <v>86575124.989877999</v>
      </c>
      <c r="F36" s="73">
        <f t="shared" si="5"/>
        <v>773076711.23464894</v>
      </c>
      <c r="G36" s="78">
        <v>270230</v>
      </c>
      <c r="H36" s="75" t="s">
        <v>100</v>
      </c>
      <c r="I36" s="73">
        <f t="shared" si="4"/>
        <v>2860.8100922719495</v>
      </c>
      <c r="J36" s="47"/>
      <c r="K36" s="47"/>
      <c r="L36" s="47"/>
      <c r="M36" s="47"/>
    </row>
    <row r="37" spans="1:13" s="48" customFormat="1" ht="36.6" x14ac:dyDescent="0.4">
      <c r="A37" s="106" t="s">
        <v>362</v>
      </c>
      <c r="B37" s="71">
        <f>2081330666.3*5.23/100</f>
        <v>108853593.84749001</v>
      </c>
      <c r="C37" s="175">
        <f>5097584.96*5.23/100</f>
        <v>266603.69340800005</v>
      </c>
      <c r="D37" s="175">
        <f>85357848.85*5.23/100</f>
        <v>4464215.4948549997</v>
      </c>
      <c r="E37" s="174">
        <f>273885241.98*5.23/100</f>
        <v>14324198.155554002</v>
      </c>
      <c r="F37" s="173">
        <f t="shared" si="5"/>
        <v>127908611.19130701</v>
      </c>
      <c r="G37" s="303">
        <v>11607</v>
      </c>
      <c r="H37" s="304" t="s">
        <v>100</v>
      </c>
      <c r="I37" s="173">
        <f t="shared" si="4"/>
        <v>11019.954440536487</v>
      </c>
      <c r="J37" s="47"/>
      <c r="K37" s="47"/>
      <c r="L37" s="47"/>
      <c r="M37" s="47"/>
    </row>
    <row r="38" spans="1:13" s="56" customFormat="1" ht="23.4" x14ac:dyDescent="0.45">
      <c r="A38" s="69" t="s">
        <v>103</v>
      </c>
      <c r="B38" s="104">
        <f t="shared" ref="B38:G38" si="6">SUM(B39:B72)</f>
        <v>407185860.28000009</v>
      </c>
      <c r="C38" s="104">
        <f t="shared" si="6"/>
        <v>381588.26000000007</v>
      </c>
      <c r="D38" s="104">
        <f t="shared" si="6"/>
        <v>9779409.5999999996</v>
      </c>
      <c r="E38" s="104">
        <f t="shared" si="6"/>
        <v>17671396.98</v>
      </c>
      <c r="F38" s="104">
        <f t="shared" si="6"/>
        <v>435018255.11999995</v>
      </c>
      <c r="G38" s="104">
        <f t="shared" si="6"/>
        <v>2363027239.1399999</v>
      </c>
      <c r="H38" s="105"/>
      <c r="I38" s="104">
        <f>SUM(F38/G38)</f>
        <v>0.18409362698600143</v>
      </c>
      <c r="J38" s="55"/>
      <c r="K38" s="55"/>
      <c r="L38" s="55"/>
    </row>
    <row r="39" spans="1:13" s="51" customFormat="1" ht="21" x14ac:dyDescent="0.4">
      <c r="A39" s="84" t="s">
        <v>189</v>
      </c>
      <c r="B39" s="81">
        <v>7240249.46</v>
      </c>
      <c r="C39" s="81">
        <v>0</v>
      </c>
      <c r="D39" s="81">
        <v>238211.51</v>
      </c>
      <c r="E39" s="81">
        <v>374138.95</v>
      </c>
      <c r="F39" s="83">
        <f t="shared" ref="F39:F50" si="7">SUM(B39:E39)</f>
        <v>7852599.9199999999</v>
      </c>
      <c r="G39" s="126">
        <v>14929</v>
      </c>
      <c r="H39" s="82" t="s">
        <v>104</v>
      </c>
      <c r="I39" s="83">
        <f>SUM(F39/G39)</f>
        <v>525.99637752026263</v>
      </c>
      <c r="J39" s="36"/>
      <c r="K39" s="36"/>
      <c r="L39" s="36"/>
      <c r="M39" s="36"/>
    </row>
    <row r="40" spans="1:13" s="51" customFormat="1" ht="21" x14ac:dyDescent="0.4">
      <c r="A40" s="79" t="s">
        <v>188</v>
      </c>
      <c r="B40" s="71">
        <v>7895166.21</v>
      </c>
      <c r="C40" s="71">
        <v>16391</v>
      </c>
      <c r="D40" s="71">
        <v>312736.48</v>
      </c>
      <c r="E40" s="71">
        <v>363493.32</v>
      </c>
      <c r="F40" s="73">
        <f t="shared" si="7"/>
        <v>8587787.0099999998</v>
      </c>
      <c r="G40" s="127">
        <v>545</v>
      </c>
      <c r="H40" s="75" t="s">
        <v>105</v>
      </c>
      <c r="I40" s="73">
        <f>SUM(F40/G40)</f>
        <v>15757.407357798165</v>
      </c>
      <c r="J40" s="36"/>
      <c r="K40" s="36"/>
      <c r="L40" s="36"/>
      <c r="M40" s="36"/>
    </row>
    <row r="41" spans="1:13" s="51" customFormat="1" ht="21" x14ac:dyDescent="0.4">
      <c r="A41" s="85" t="s">
        <v>190</v>
      </c>
      <c r="B41" s="86">
        <f>22120438.79*15/100</f>
        <v>3318065.8184999996</v>
      </c>
      <c r="C41" s="86">
        <f>-37123.31*15/100</f>
        <v>-5568.4964999999993</v>
      </c>
      <c r="D41" s="86">
        <f>1489100.86*15/100</f>
        <v>223365.12900000002</v>
      </c>
      <c r="E41" s="86">
        <f>2094412.99*15/100</f>
        <v>314161.9485</v>
      </c>
      <c r="F41" s="87">
        <f t="shared" si="7"/>
        <v>3850024.3994999998</v>
      </c>
      <c r="G41" s="128">
        <v>60865</v>
      </c>
      <c r="H41" s="89" t="s">
        <v>104</v>
      </c>
      <c r="I41" s="87">
        <f t="shared" ref="I41:I65" si="8">SUM(F41/G41)</f>
        <v>63.255144984802428</v>
      </c>
      <c r="J41" s="36"/>
      <c r="K41" s="36"/>
      <c r="L41" s="36"/>
      <c r="M41" s="36"/>
    </row>
    <row r="42" spans="1:13" s="51" customFormat="1" ht="21" x14ac:dyDescent="0.4">
      <c r="A42" s="79" t="s">
        <v>191</v>
      </c>
      <c r="B42" s="86">
        <f>22120438.79*15/100</f>
        <v>3318065.8184999996</v>
      </c>
      <c r="C42" s="86">
        <f>-37123.31*15/100</f>
        <v>-5568.4964999999993</v>
      </c>
      <c r="D42" s="86">
        <f>1489100.86*15/100</f>
        <v>223365.12900000002</v>
      </c>
      <c r="E42" s="86">
        <f>2094412.99*15/100</f>
        <v>314161.9485</v>
      </c>
      <c r="F42" s="73">
        <f t="shared" si="7"/>
        <v>3850024.3994999998</v>
      </c>
      <c r="G42" s="127">
        <v>205636</v>
      </c>
      <c r="H42" s="75" t="s">
        <v>174</v>
      </c>
      <c r="I42" s="73">
        <f t="shared" si="8"/>
        <v>18.722521345970549</v>
      </c>
      <c r="J42" s="36"/>
      <c r="K42" s="36"/>
      <c r="L42" s="36"/>
      <c r="M42" s="36"/>
    </row>
    <row r="43" spans="1:13" s="51" customFormat="1" ht="21" x14ac:dyDescent="0.4">
      <c r="A43" s="79" t="s">
        <v>192</v>
      </c>
      <c r="B43" s="86">
        <f>22120438.79*20/100</f>
        <v>4424087.7579999994</v>
      </c>
      <c r="C43" s="86">
        <f>-37123.31*20/100</f>
        <v>-7424.6619999999994</v>
      </c>
      <c r="D43" s="86">
        <f>1489100.86*20/100</f>
        <v>297820.17200000002</v>
      </c>
      <c r="E43" s="86">
        <f>2094412.99*20/100</f>
        <v>418882.598</v>
      </c>
      <c r="F43" s="73">
        <f t="shared" si="7"/>
        <v>5133365.8660000004</v>
      </c>
      <c r="G43" s="78">
        <v>2361</v>
      </c>
      <c r="H43" s="75" t="s">
        <v>104</v>
      </c>
      <c r="I43" s="73">
        <f t="shared" si="8"/>
        <v>2174.2337424819993</v>
      </c>
      <c r="J43" s="36"/>
      <c r="K43" s="36"/>
      <c r="L43" s="36"/>
      <c r="M43" s="36"/>
    </row>
    <row r="44" spans="1:13" s="51" customFormat="1" ht="21" x14ac:dyDescent="0.4">
      <c r="A44" s="79" t="s">
        <v>193</v>
      </c>
      <c r="B44" s="86">
        <f>22120438.79*30/100</f>
        <v>6636131.6369999992</v>
      </c>
      <c r="C44" s="86">
        <f>-37123.31*30/100</f>
        <v>-11136.992999999999</v>
      </c>
      <c r="D44" s="86">
        <f>1489100.86*30/100</f>
        <v>446730.25800000003</v>
      </c>
      <c r="E44" s="86">
        <f>2094412.99*30/100</f>
        <v>628323.897</v>
      </c>
      <c r="F44" s="73">
        <f t="shared" si="7"/>
        <v>7700048.7989999996</v>
      </c>
      <c r="G44" s="78">
        <v>474</v>
      </c>
      <c r="H44" s="75" t="s">
        <v>105</v>
      </c>
      <c r="I44" s="73">
        <f t="shared" si="8"/>
        <v>16244.828689873417</v>
      </c>
      <c r="J44" s="36"/>
      <c r="K44" s="36"/>
      <c r="L44" s="36"/>
      <c r="M44" s="36"/>
    </row>
    <row r="45" spans="1:13" s="51" customFormat="1" ht="21" x14ac:dyDescent="0.4">
      <c r="A45" s="79" t="s">
        <v>194</v>
      </c>
      <c r="B45" s="86">
        <f>22120438.79*15/100</f>
        <v>3318065.8184999996</v>
      </c>
      <c r="C45" s="86">
        <f>-37123.31*15/100</f>
        <v>-5568.4964999999993</v>
      </c>
      <c r="D45" s="86">
        <f>1489100.86*15/100</f>
        <v>223365.12900000002</v>
      </c>
      <c r="E45" s="86">
        <f>2094412.99*15/100</f>
        <v>314161.9485</v>
      </c>
      <c r="F45" s="73">
        <f t="shared" si="7"/>
        <v>3850024.3994999998</v>
      </c>
      <c r="G45" s="78">
        <v>150</v>
      </c>
      <c r="H45" s="75" t="s">
        <v>100</v>
      </c>
      <c r="I45" s="73">
        <f t="shared" si="8"/>
        <v>25666.82933</v>
      </c>
      <c r="J45" s="36"/>
      <c r="K45" s="36"/>
      <c r="L45" s="36"/>
      <c r="M45" s="36"/>
    </row>
    <row r="46" spans="1:13" s="51" customFormat="1" ht="21" x14ac:dyDescent="0.4">
      <c r="A46" s="79" t="s">
        <v>195</v>
      </c>
      <c r="B46" s="86">
        <f>22120438.79*5/100</f>
        <v>1106021.9394999999</v>
      </c>
      <c r="C46" s="86">
        <f>-37123.31*5/100</f>
        <v>-1856.1654999999998</v>
      </c>
      <c r="D46" s="86">
        <f>1489100.86*5/100</f>
        <v>74455.043000000005</v>
      </c>
      <c r="E46" s="86">
        <f>2094412.99*5/100</f>
        <v>104720.6495</v>
      </c>
      <c r="F46" s="73">
        <f t="shared" si="7"/>
        <v>1283341.4665000001</v>
      </c>
      <c r="G46" s="78">
        <v>4</v>
      </c>
      <c r="H46" s="75" t="s">
        <v>104</v>
      </c>
      <c r="I46" s="73">
        <f t="shared" si="8"/>
        <v>320835.36662500002</v>
      </c>
      <c r="J46" s="36"/>
      <c r="K46" s="36"/>
      <c r="L46" s="36"/>
      <c r="M46" s="36"/>
    </row>
    <row r="47" spans="1:13" s="51" customFormat="1" ht="21" x14ac:dyDescent="0.4">
      <c r="A47" s="79" t="s">
        <v>196</v>
      </c>
      <c r="B47" s="71">
        <v>12378603.279999999</v>
      </c>
      <c r="C47" s="71">
        <v>0</v>
      </c>
      <c r="D47" s="71">
        <v>825542.51</v>
      </c>
      <c r="E47" s="71">
        <v>1590354.15</v>
      </c>
      <c r="F47" s="73">
        <f t="shared" si="7"/>
        <v>14794499.939999999</v>
      </c>
      <c r="G47" s="78">
        <v>3</v>
      </c>
      <c r="H47" s="75" t="s">
        <v>104</v>
      </c>
      <c r="I47" s="73">
        <f>SUM(F47/G47)</f>
        <v>4931499.9799999995</v>
      </c>
      <c r="J47" s="36"/>
      <c r="K47" s="36"/>
      <c r="L47" s="36"/>
    </row>
    <row r="48" spans="1:13" s="51" customFormat="1" ht="21" x14ac:dyDescent="0.4">
      <c r="A48" s="90" t="s">
        <v>305</v>
      </c>
      <c r="B48" s="71">
        <v>20291310.719999999</v>
      </c>
      <c r="C48" s="71">
        <v>0</v>
      </c>
      <c r="D48" s="71">
        <v>139771.35</v>
      </c>
      <c r="E48" s="71">
        <v>435753.06</v>
      </c>
      <c r="F48" s="73">
        <f t="shared" si="7"/>
        <v>20866835.129999999</v>
      </c>
      <c r="G48" s="78">
        <v>30</v>
      </c>
      <c r="H48" s="75" t="s">
        <v>102</v>
      </c>
      <c r="I48" s="73">
        <f t="shared" si="8"/>
        <v>695561.17099999997</v>
      </c>
      <c r="J48" s="36"/>
      <c r="K48" s="36"/>
      <c r="L48" s="36"/>
      <c r="M48" s="36"/>
    </row>
    <row r="49" spans="1:13" s="51" customFormat="1" ht="21" x14ac:dyDescent="0.4">
      <c r="A49" s="79" t="s">
        <v>306</v>
      </c>
      <c r="B49" s="71">
        <v>5996744.75</v>
      </c>
      <c r="C49" s="71">
        <v>0</v>
      </c>
      <c r="D49" s="71">
        <v>41307</v>
      </c>
      <c r="E49" s="71">
        <v>128779.26</v>
      </c>
      <c r="F49" s="73">
        <f t="shared" si="7"/>
        <v>6166831.0099999998</v>
      </c>
      <c r="G49" s="78">
        <v>800</v>
      </c>
      <c r="H49" s="75" t="s">
        <v>100</v>
      </c>
      <c r="I49" s="73">
        <f t="shared" si="8"/>
        <v>7708.5387624999994</v>
      </c>
      <c r="J49" s="36"/>
      <c r="K49" s="36"/>
      <c r="L49" s="36"/>
      <c r="M49" s="36"/>
    </row>
    <row r="50" spans="1:13" s="51" customFormat="1" ht="21" x14ac:dyDescent="0.4">
      <c r="A50" s="90" t="s">
        <v>307</v>
      </c>
      <c r="B50" s="71">
        <v>201588244.94</v>
      </c>
      <c r="C50" s="71">
        <f>257842.59-50000</f>
        <v>207842.59</v>
      </c>
      <c r="D50" s="71">
        <v>1388587.55</v>
      </c>
      <c r="E50" s="71">
        <v>4329079.42</v>
      </c>
      <c r="F50" s="73">
        <f t="shared" si="7"/>
        <v>207513754.5</v>
      </c>
      <c r="G50" s="78">
        <v>105</v>
      </c>
      <c r="H50" s="75" t="s">
        <v>102</v>
      </c>
      <c r="I50" s="73">
        <f t="shared" si="8"/>
        <v>1976321.4714285715</v>
      </c>
      <c r="J50" s="36"/>
      <c r="K50" s="36"/>
      <c r="L50" s="36"/>
      <c r="M50" s="36"/>
    </row>
    <row r="51" spans="1:13" s="48" customFormat="1" ht="21" x14ac:dyDescent="0.4">
      <c r="A51" s="77" t="s">
        <v>308</v>
      </c>
      <c r="B51" s="71">
        <v>7171768.25</v>
      </c>
      <c r="C51" s="71">
        <v>-352.03</v>
      </c>
      <c r="D51" s="71">
        <v>337808.19</v>
      </c>
      <c r="E51" s="71">
        <v>472049.6</v>
      </c>
      <c r="F51" s="73">
        <f>+B51+C51+D51+E51</f>
        <v>7981274.0099999998</v>
      </c>
      <c r="G51" s="78">
        <v>35</v>
      </c>
      <c r="H51" s="75" t="s">
        <v>101</v>
      </c>
      <c r="I51" s="73">
        <f t="shared" si="8"/>
        <v>228036.40028571428</v>
      </c>
      <c r="J51" s="47"/>
      <c r="K51" s="47"/>
      <c r="L51" s="47"/>
      <c r="M51" s="47"/>
    </row>
    <row r="52" spans="1:13" s="51" customFormat="1" ht="21" x14ac:dyDescent="0.4">
      <c r="A52" s="79" t="s">
        <v>309</v>
      </c>
      <c r="B52" s="71">
        <v>4482355.16</v>
      </c>
      <c r="C52" s="71">
        <v>-112.65</v>
      </c>
      <c r="D52" s="71">
        <v>135123.28</v>
      </c>
      <c r="E52" s="71">
        <v>590062</v>
      </c>
      <c r="F52" s="73">
        <f t="shared" ref="F52:F72" si="9">SUM(B52:E52)</f>
        <v>5207427.79</v>
      </c>
      <c r="G52" s="78">
        <v>25</v>
      </c>
      <c r="H52" s="75" t="s">
        <v>101</v>
      </c>
      <c r="I52" s="73">
        <f t="shared" si="8"/>
        <v>208297.1116</v>
      </c>
      <c r="J52" s="36"/>
      <c r="K52" s="36"/>
      <c r="L52" s="36"/>
    </row>
    <row r="53" spans="1:13" s="51" customFormat="1" ht="21" x14ac:dyDescent="0.4">
      <c r="A53" s="79" t="s">
        <v>310</v>
      </c>
      <c r="B53" s="71">
        <v>7470591.9299999997</v>
      </c>
      <c r="C53" s="71">
        <v>-211.22</v>
      </c>
      <c r="D53" s="71">
        <v>320917.78000000003</v>
      </c>
      <c r="E53" s="71">
        <v>188819.84</v>
      </c>
      <c r="F53" s="73">
        <f t="shared" si="9"/>
        <v>7980118.3300000001</v>
      </c>
      <c r="G53" s="78">
        <v>218</v>
      </c>
      <c r="H53" s="75" t="s">
        <v>100</v>
      </c>
      <c r="I53" s="73">
        <f t="shared" si="8"/>
        <v>36606.047385321101</v>
      </c>
      <c r="J53" s="36"/>
      <c r="K53" s="36"/>
      <c r="L53" s="36"/>
    </row>
    <row r="54" spans="1:13" s="51" customFormat="1" ht="21" x14ac:dyDescent="0.4">
      <c r="A54" s="79" t="s">
        <v>311</v>
      </c>
      <c r="B54" s="71">
        <v>3287060.45</v>
      </c>
      <c r="C54" s="71">
        <v>-281.62</v>
      </c>
      <c r="D54" s="71">
        <v>253356.14</v>
      </c>
      <c r="E54" s="71">
        <v>354037.2</v>
      </c>
      <c r="F54" s="73">
        <f t="shared" si="9"/>
        <v>3894172.1700000004</v>
      </c>
      <c r="G54" s="78">
        <v>80</v>
      </c>
      <c r="H54" s="75" t="s">
        <v>100</v>
      </c>
      <c r="I54" s="73">
        <f t="shared" si="8"/>
        <v>48677.152125000008</v>
      </c>
      <c r="J54" s="36"/>
      <c r="K54" s="36"/>
      <c r="L54" s="36"/>
    </row>
    <row r="55" spans="1:13" s="51" customFormat="1" ht="21" x14ac:dyDescent="0.4">
      <c r="A55" s="79" t="s">
        <v>312</v>
      </c>
      <c r="B55" s="71">
        <v>2390589.42</v>
      </c>
      <c r="C55" s="71">
        <v>-70.41</v>
      </c>
      <c r="D55" s="71">
        <v>168904.09</v>
      </c>
      <c r="E55" s="71">
        <v>236024.8</v>
      </c>
      <c r="F55" s="73">
        <f t="shared" si="9"/>
        <v>2795447.8999999994</v>
      </c>
      <c r="G55" s="78">
        <v>64</v>
      </c>
      <c r="H55" s="75" t="s">
        <v>100</v>
      </c>
      <c r="I55" s="73">
        <f t="shared" si="8"/>
        <v>43678.873437499991</v>
      </c>
      <c r="J55" s="36"/>
      <c r="K55" s="36"/>
      <c r="L55" s="36"/>
    </row>
    <row r="56" spans="1:13" s="51" customFormat="1" ht="21" x14ac:dyDescent="0.4">
      <c r="A56" s="79" t="s">
        <v>313</v>
      </c>
      <c r="B56" s="71">
        <v>4482355.16</v>
      </c>
      <c r="C56" s="71">
        <v>-98.57</v>
      </c>
      <c r="D56" s="71">
        <v>168904.09</v>
      </c>
      <c r="E56" s="71">
        <v>236024.8</v>
      </c>
      <c r="F56" s="73">
        <f t="shared" si="9"/>
        <v>4887185.4799999995</v>
      </c>
      <c r="G56" s="78">
        <v>130</v>
      </c>
      <c r="H56" s="75" t="s">
        <v>100</v>
      </c>
      <c r="I56" s="73">
        <f t="shared" si="8"/>
        <v>37593.734461538457</v>
      </c>
      <c r="J56" s="36"/>
      <c r="K56" s="36"/>
      <c r="L56" s="36"/>
    </row>
    <row r="57" spans="1:13" s="178" customFormat="1" ht="21" x14ac:dyDescent="0.4">
      <c r="A57" s="305" t="s">
        <v>314</v>
      </c>
      <c r="B57" s="306">
        <v>5685029.7199999997</v>
      </c>
      <c r="C57" s="306">
        <v>7111.91</v>
      </c>
      <c r="D57" s="306">
        <v>325487.14</v>
      </c>
      <c r="E57" s="306">
        <v>484627.86</v>
      </c>
      <c r="F57" s="307">
        <f t="shared" si="9"/>
        <v>6502256.6299999999</v>
      </c>
      <c r="G57" s="308">
        <v>343410</v>
      </c>
      <c r="H57" s="309" t="s">
        <v>109</v>
      </c>
      <c r="I57" s="307">
        <f t="shared" si="8"/>
        <v>18.934383477475905</v>
      </c>
      <c r="J57" s="177"/>
      <c r="K57" s="177"/>
      <c r="L57" s="177"/>
    </row>
    <row r="58" spans="1:13" s="178" customFormat="1" ht="31.2" x14ac:dyDescent="0.4">
      <c r="A58" s="305" t="s">
        <v>315</v>
      </c>
      <c r="B58" s="306">
        <v>5685029.7199999997</v>
      </c>
      <c r="C58" s="306">
        <v>7111.91</v>
      </c>
      <c r="D58" s="306">
        <v>325487.14</v>
      </c>
      <c r="E58" s="306">
        <v>484627.86</v>
      </c>
      <c r="F58" s="307">
        <f t="shared" si="9"/>
        <v>6502256.6299999999</v>
      </c>
      <c r="G58" s="308">
        <v>1153</v>
      </c>
      <c r="H58" s="309" t="s">
        <v>175</v>
      </c>
      <c r="I58" s="307">
        <f t="shared" si="8"/>
        <v>5639.4246574154377</v>
      </c>
      <c r="J58" s="177"/>
      <c r="K58" s="177"/>
      <c r="L58" s="177"/>
    </row>
    <row r="59" spans="1:13" s="178" customFormat="1" ht="31.2" x14ac:dyDescent="0.4">
      <c r="A59" s="305" t="s">
        <v>316</v>
      </c>
      <c r="B59" s="306">
        <v>4872882.62</v>
      </c>
      <c r="C59" s="306">
        <v>6095.93</v>
      </c>
      <c r="D59" s="306">
        <v>278988.96999999997</v>
      </c>
      <c r="E59" s="306">
        <v>415395.31</v>
      </c>
      <c r="F59" s="307">
        <f t="shared" si="9"/>
        <v>5573362.8299999991</v>
      </c>
      <c r="G59" s="308">
        <v>2362351797.1399999</v>
      </c>
      <c r="H59" s="309" t="s">
        <v>176</v>
      </c>
      <c r="I59" s="307">
        <v>2E-3</v>
      </c>
      <c r="J59" s="177"/>
      <c r="K59" s="177"/>
      <c r="L59" s="177"/>
    </row>
    <row r="60" spans="1:13" s="51" customFormat="1" ht="21" x14ac:dyDescent="0.4">
      <c r="A60" s="79" t="s">
        <v>317</v>
      </c>
      <c r="B60" s="71">
        <v>7177581.8899999997</v>
      </c>
      <c r="C60" s="71">
        <v>6928.2</v>
      </c>
      <c r="D60" s="71">
        <v>367582.03</v>
      </c>
      <c r="E60" s="71">
        <v>481208.39</v>
      </c>
      <c r="F60" s="73">
        <f t="shared" si="9"/>
        <v>8033300.5099999998</v>
      </c>
      <c r="G60" s="78">
        <v>2458</v>
      </c>
      <c r="H60" s="75" t="s">
        <v>100</v>
      </c>
      <c r="I60" s="73">
        <f t="shared" si="8"/>
        <v>3268.2264076484948</v>
      </c>
      <c r="J60" s="36"/>
      <c r="K60" s="36"/>
      <c r="L60" s="36"/>
    </row>
    <row r="61" spans="1:13" s="51" customFormat="1" ht="25.2" customHeight="1" x14ac:dyDescent="0.4">
      <c r="A61" s="85" t="s">
        <v>318</v>
      </c>
      <c r="B61" s="86">
        <v>11962636.49</v>
      </c>
      <c r="C61" s="86">
        <v>11547</v>
      </c>
      <c r="D61" s="86">
        <v>612636.72</v>
      </c>
      <c r="E61" s="86">
        <v>802013.99</v>
      </c>
      <c r="F61" s="87">
        <f t="shared" si="9"/>
        <v>13388834.200000001</v>
      </c>
      <c r="G61" s="88">
        <v>13783</v>
      </c>
      <c r="H61" s="91" t="s">
        <v>100</v>
      </c>
      <c r="I61" s="87">
        <f t="shared" si="8"/>
        <v>971.40203148806506</v>
      </c>
      <c r="J61" s="36"/>
      <c r="K61" s="36"/>
      <c r="L61" s="36"/>
    </row>
    <row r="62" spans="1:13" s="51" customFormat="1" ht="21" x14ac:dyDescent="0.4">
      <c r="A62" s="79" t="s">
        <v>319</v>
      </c>
      <c r="B62" s="71">
        <v>4785054.5999999996</v>
      </c>
      <c r="C62" s="71">
        <v>4618.8</v>
      </c>
      <c r="D62" s="71">
        <v>245054.69</v>
      </c>
      <c r="E62" s="71">
        <v>320805.59000000003</v>
      </c>
      <c r="F62" s="73">
        <f t="shared" si="9"/>
        <v>5355533.68</v>
      </c>
      <c r="G62" s="78">
        <v>20</v>
      </c>
      <c r="H62" s="75" t="s">
        <v>104</v>
      </c>
      <c r="I62" s="73">
        <f t="shared" si="8"/>
        <v>267776.68400000001</v>
      </c>
      <c r="J62" s="36"/>
      <c r="K62" s="36"/>
      <c r="L62" s="36"/>
    </row>
    <row r="63" spans="1:13" s="51" customFormat="1" ht="21" x14ac:dyDescent="0.4">
      <c r="A63" s="79" t="s">
        <v>320</v>
      </c>
      <c r="B63" s="71">
        <v>6887215.1100000003</v>
      </c>
      <c r="C63" s="71">
        <f>170745.71-8271.32</f>
        <v>162474.38999999998</v>
      </c>
      <c r="D63" s="71">
        <v>392862.94</v>
      </c>
      <c r="E63" s="71">
        <v>359407.52</v>
      </c>
      <c r="F63" s="73">
        <f t="shared" si="9"/>
        <v>7801959.9600000009</v>
      </c>
      <c r="G63" s="78">
        <v>3281</v>
      </c>
      <c r="H63" s="75" t="s">
        <v>104</v>
      </c>
      <c r="I63" s="73">
        <f t="shared" si="8"/>
        <v>2377.9213532459617</v>
      </c>
      <c r="J63" s="36"/>
      <c r="K63" s="36"/>
      <c r="L63" s="36"/>
    </row>
    <row r="64" spans="1:13" s="51" customFormat="1" ht="21" x14ac:dyDescent="0.4">
      <c r="A64" s="79" t="s">
        <v>321</v>
      </c>
      <c r="B64" s="71">
        <v>7241651.3200000003</v>
      </c>
      <c r="C64" s="71">
        <v>22733.4</v>
      </c>
      <c r="D64" s="71">
        <v>74394.5</v>
      </c>
      <c r="E64" s="71">
        <v>66962.23</v>
      </c>
      <c r="F64" s="73">
        <f t="shared" si="9"/>
        <v>7405741.4500000011</v>
      </c>
      <c r="G64" s="78">
        <v>1</v>
      </c>
      <c r="H64" s="75" t="s">
        <v>106</v>
      </c>
      <c r="I64" s="73">
        <f t="shared" si="8"/>
        <v>7405741.4500000011</v>
      </c>
      <c r="J64" s="36"/>
      <c r="K64" s="36"/>
      <c r="L64" s="36"/>
    </row>
    <row r="65" spans="1:12" s="51" customFormat="1" ht="21" x14ac:dyDescent="0.4">
      <c r="A65" s="79" t="s">
        <v>322</v>
      </c>
      <c r="B65" s="71">
        <f>5619383.23*0.7</f>
        <v>3933568.2609999999</v>
      </c>
      <c r="C65" s="71">
        <f>42006.77*0.7</f>
        <v>29404.738999999994</v>
      </c>
      <c r="D65" s="71">
        <f>239180.48*0.7</f>
        <v>167426.33600000001</v>
      </c>
      <c r="E65" s="71">
        <f>309643.12*0.7</f>
        <v>216750.18399999998</v>
      </c>
      <c r="F65" s="73">
        <f t="shared" si="9"/>
        <v>4347149.5200000005</v>
      </c>
      <c r="G65" s="78">
        <v>1</v>
      </c>
      <c r="H65" s="75" t="s">
        <v>106</v>
      </c>
      <c r="I65" s="73">
        <f t="shared" si="8"/>
        <v>4347149.5200000005</v>
      </c>
      <c r="J65" s="36"/>
      <c r="K65" s="36"/>
      <c r="L65" s="36"/>
    </row>
    <row r="66" spans="1:12" s="48" customFormat="1" ht="21" x14ac:dyDescent="0.4">
      <c r="A66" s="79" t="s">
        <v>323</v>
      </c>
      <c r="B66" s="71">
        <f>5619383.23*0.3</f>
        <v>1685814.969</v>
      </c>
      <c r="C66" s="71">
        <f>42006.77*0.3</f>
        <v>12602.030999999999</v>
      </c>
      <c r="D66" s="71">
        <f>239180.48*0.3</f>
        <v>71754.144</v>
      </c>
      <c r="E66" s="71">
        <f>309643.12*0.3</f>
        <v>92892.936000000002</v>
      </c>
      <c r="F66" s="73">
        <f t="shared" si="9"/>
        <v>1863064.08</v>
      </c>
      <c r="G66" s="78">
        <v>92</v>
      </c>
      <c r="H66" s="75" t="s">
        <v>99</v>
      </c>
      <c r="I66" s="73">
        <f>SUM(F66/G66)</f>
        <v>20250.69652173913</v>
      </c>
      <c r="J66" s="47"/>
      <c r="K66" s="47"/>
      <c r="L66" s="47"/>
    </row>
    <row r="67" spans="1:12" s="48" customFormat="1" ht="21" x14ac:dyDescent="0.4">
      <c r="A67" s="179" t="s">
        <v>324</v>
      </c>
      <c r="B67" s="71">
        <v>4443505.45</v>
      </c>
      <c r="C67" s="71">
        <v>-1543.04</v>
      </c>
      <c r="D67" s="71">
        <v>264469.34999999998</v>
      </c>
      <c r="E67" s="71">
        <v>375655.57</v>
      </c>
      <c r="F67" s="73">
        <f t="shared" si="9"/>
        <v>5082087.33</v>
      </c>
      <c r="G67" s="78">
        <v>3013</v>
      </c>
      <c r="H67" s="75" t="s">
        <v>180</v>
      </c>
      <c r="I67" s="73">
        <f t="shared" ref="I67:I72" si="10">SUM(F67/G67)</f>
        <v>1686.7199900431465</v>
      </c>
      <c r="J67" s="47"/>
      <c r="K67" s="47"/>
      <c r="L67" s="47"/>
    </row>
    <row r="68" spans="1:12" s="48" customFormat="1" ht="21" x14ac:dyDescent="0.4">
      <c r="A68" s="179" t="s">
        <v>325</v>
      </c>
      <c r="B68" s="71">
        <v>4376697.32</v>
      </c>
      <c r="C68" s="71">
        <v>-3303.79</v>
      </c>
      <c r="D68" s="71">
        <v>250813.48</v>
      </c>
      <c r="E68" s="71">
        <v>285399.93</v>
      </c>
      <c r="F68" s="73">
        <f t="shared" si="9"/>
        <v>4909606.9400000004</v>
      </c>
      <c r="G68" s="78">
        <v>827</v>
      </c>
      <c r="H68" s="75" t="s">
        <v>105</v>
      </c>
      <c r="I68" s="73">
        <f t="shared" si="10"/>
        <v>5936.6468440145109</v>
      </c>
      <c r="J68" s="47"/>
      <c r="K68" s="47"/>
      <c r="L68" s="47"/>
    </row>
    <row r="69" spans="1:12" s="48" customFormat="1" ht="21" x14ac:dyDescent="0.4">
      <c r="A69" s="179" t="s">
        <v>326</v>
      </c>
      <c r="B69" s="71">
        <f>6986937.19*0.7</f>
        <v>4890856.0329999998</v>
      </c>
      <c r="C69" s="71">
        <f>54921*0.7</f>
        <v>38444.699999999997</v>
      </c>
      <c r="D69" s="71">
        <f>287674.48*0.7</f>
        <v>201372.13599999997</v>
      </c>
      <c r="E69" s="71">
        <f>1282663.25*0.7</f>
        <v>897864.27499999991</v>
      </c>
      <c r="F69" s="73">
        <f t="shared" si="9"/>
        <v>6028537.1439999994</v>
      </c>
      <c r="G69" s="78">
        <v>20050</v>
      </c>
      <c r="H69" s="75" t="s">
        <v>210</v>
      </c>
      <c r="I69" s="73">
        <f t="shared" si="10"/>
        <v>300.67516927680794</v>
      </c>
      <c r="J69" s="47"/>
      <c r="K69" s="47"/>
      <c r="L69" s="47"/>
    </row>
    <row r="70" spans="1:12" s="48" customFormat="1" ht="21" x14ac:dyDescent="0.4">
      <c r="A70" s="179" t="s">
        <v>327</v>
      </c>
      <c r="B70" s="71">
        <f>6986937.19*0.3</f>
        <v>2096081.1570000001</v>
      </c>
      <c r="C70" s="71">
        <f>54921*0.3</f>
        <v>16476.3</v>
      </c>
      <c r="D70" s="71">
        <f>287674.48*0.3</f>
        <v>86302.343999999997</v>
      </c>
      <c r="E70" s="71">
        <f>1282663.25*0.3</f>
        <v>384798.97499999998</v>
      </c>
      <c r="F70" s="73">
        <f t="shared" si="9"/>
        <v>2583658.7760000001</v>
      </c>
      <c r="G70" s="78">
        <v>24</v>
      </c>
      <c r="H70" s="75" t="s">
        <v>107</v>
      </c>
      <c r="I70" s="73">
        <f t="shared" si="10"/>
        <v>107652.44900000001</v>
      </c>
      <c r="J70" s="47"/>
      <c r="K70" s="47"/>
      <c r="L70" s="47"/>
    </row>
    <row r="71" spans="1:12" s="48" customFormat="1" ht="21" x14ac:dyDescent="0.4">
      <c r="A71" s="179" t="s">
        <v>328</v>
      </c>
      <c r="B71" s="71">
        <f>2841897.68-1420948</f>
        <v>1420949.6800000002</v>
      </c>
      <c r="C71" s="71">
        <v>0</v>
      </c>
      <c r="D71" s="71">
        <f>265320.23-132660</f>
        <v>132660.22999999998</v>
      </c>
      <c r="E71" s="71">
        <f>235154.5-117577</f>
        <v>117577.5</v>
      </c>
      <c r="F71" s="73">
        <f t="shared" si="9"/>
        <v>1671187.4100000001</v>
      </c>
      <c r="G71" s="78">
        <v>5</v>
      </c>
      <c r="H71" s="75" t="s">
        <v>105</v>
      </c>
      <c r="I71" s="73">
        <f t="shared" si="10"/>
        <v>334237.48200000002</v>
      </c>
      <c r="J71" s="47"/>
      <c r="K71" s="47"/>
      <c r="L71" s="47"/>
    </row>
    <row r="72" spans="1:12" s="48" customFormat="1" ht="21" x14ac:dyDescent="0.4">
      <c r="A72" s="179" t="s">
        <v>329</v>
      </c>
      <c r="B72" s="71">
        <v>23245827.420000002</v>
      </c>
      <c r="C72" s="71">
        <v>-125098</v>
      </c>
      <c r="D72" s="71">
        <v>161846.62</v>
      </c>
      <c r="E72" s="71">
        <v>492379.47</v>
      </c>
      <c r="F72" s="73">
        <f t="shared" si="9"/>
        <v>23774955.510000002</v>
      </c>
      <c r="G72" s="78">
        <v>870</v>
      </c>
      <c r="H72" s="75" t="s">
        <v>104</v>
      </c>
      <c r="I72" s="73">
        <f t="shared" si="10"/>
        <v>27327.535068965521</v>
      </c>
      <c r="J72" s="47"/>
      <c r="K72" s="47"/>
      <c r="L72" s="47"/>
    </row>
    <row r="73" spans="1:12" s="56" customFormat="1" ht="24" thickBot="1" x14ac:dyDescent="0.5">
      <c r="A73" s="92" t="s">
        <v>17</v>
      </c>
      <c r="B73" s="93">
        <f>SUM(B8+B38)</f>
        <v>2548604910.4400001</v>
      </c>
      <c r="C73" s="93">
        <f>SUM(C8+C38)</f>
        <v>5263197.2</v>
      </c>
      <c r="D73" s="93">
        <f>SUM(D8+D38)</f>
        <v>97396995.420000002</v>
      </c>
      <c r="E73" s="93">
        <f>SUM(E8+E38)</f>
        <v>297148778.58999997</v>
      </c>
      <c r="F73" s="93">
        <f>+B73+C73+D73+E73</f>
        <v>2948413881.6500001</v>
      </c>
      <c r="G73" s="93">
        <f>+G8+G38</f>
        <v>2367980055.1399999</v>
      </c>
      <c r="H73" s="94"/>
      <c r="I73" s="515">
        <f>+F73/G73</f>
        <v>1.2451177007382708</v>
      </c>
      <c r="J73" s="55"/>
      <c r="K73" s="55"/>
      <c r="L73" s="55"/>
    </row>
    <row r="74" spans="1:12" s="56" customFormat="1" ht="24" thickTop="1" x14ac:dyDescent="0.45">
      <c r="A74" s="95"/>
      <c r="B74" s="34"/>
      <c r="C74" s="34"/>
      <c r="D74" s="34"/>
      <c r="E74" s="34"/>
      <c r="F74" s="34"/>
      <c r="G74" s="34"/>
      <c r="H74" s="96"/>
      <c r="I74" s="34"/>
      <c r="J74" s="55"/>
      <c r="K74" s="55"/>
      <c r="L74" s="55"/>
    </row>
    <row r="75" spans="1:12" s="56" customFormat="1" ht="23.4" x14ac:dyDescent="0.45">
      <c r="A75" s="95"/>
      <c r="B75" s="34">
        <f>2548604910.44-407185860.28-B8</f>
        <v>0</v>
      </c>
      <c r="C75" s="34"/>
      <c r="D75" s="34"/>
      <c r="E75" s="34"/>
      <c r="F75" s="34">
        <f>+F73-2948413881.65</f>
        <v>0</v>
      </c>
      <c r="G75" s="34"/>
      <c r="H75" s="96"/>
      <c r="I75" s="34"/>
      <c r="J75" s="55"/>
      <c r="K75" s="55"/>
      <c r="L75" s="55"/>
    </row>
    <row r="76" spans="1:12" s="56" customFormat="1" ht="23.4" x14ac:dyDescent="0.45">
      <c r="A76" s="95"/>
      <c r="B76" s="34"/>
      <c r="C76" s="34"/>
      <c r="D76" s="34"/>
      <c r="E76" s="34"/>
      <c r="F76" s="34"/>
      <c r="G76" s="34"/>
      <c r="H76" s="96"/>
      <c r="I76" s="34"/>
      <c r="J76" s="55"/>
      <c r="K76" s="55"/>
      <c r="L76" s="55"/>
    </row>
    <row r="77" spans="1:12" s="56" customFormat="1" ht="23.4" x14ac:dyDescent="0.45">
      <c r="A77" s="95"/>
      <c r="B77" s="34"/>
      <c r="C77" s="34"/>
      <c r="D77" s="34"/>
      <c r="E77" s="34"/>
      <c r="F77" s="34"/>
      <c r="G77" s="34"/>
      <c r="H77" s="96"/>
      <c r="I77" s="34"/>
      <c r="J77" s="55"/>
      <c r="K77" s="55"/>
      <c r="L77" s="55"/>
    </row>
    <row r="78" spans="1:12" s="56" customFormat="1" ht="23.4" x14ac:dyDescent="0.45">
      <c r="A78" s="95"/>
      <c r="B78" s="34"/>
      <c r="C78" s="34"/>
      <c r="D78" s="34"/>
      <c r="E78" s="34"/>
      <c r="F78" s="34"/>
      <c r="G78" s="34"/>
      <c r="H78" s="96"/>
      <c r="I78" s="34"/>
      <c r="J78" s="55"/>
      <c r="K78" s="55"/>
      <c r="L78" s="55"/>
    </row>
    <row r="79" spans="1:12" s="56" customFormat="1" ht="23.4" x14ac:dyDescent="0.45">
      <c r="A79" s="95"/>
      <c r="B79" s="34"/>
      <c r="C79" s="34"/>
      <c r="D79" s="34"/>
      <c r="E79" s="34"/>
      <c r="F79" s="34"/>
      <c r="G79" s="34"/>
      <c r="H79" s="96"/>
      <c r="I79" s="34"/>
      <c r="J79" s="55"/>
      <c r="K79" s="55"/>
      <c r="L79" s="55"/>
    </row>
    <row r="80" spans="1:12" s="56" customFormat="1" ht="23.4" x14ac:dyDescent="0.45">
      <c r="A80" s="95"/>
      <c r="B80" s="34"/>
      <c r="C80" s="34"/>
      <c r="D80" s="34"/>
      <c r="E80" s="34"/>
      <c r="F80" s="34"/>
      <c r="G80" s="34"/>
      <c r="H80" s="96"/>
      <c r="I80" s="34"/>
      <c r="J80" s="55"/>
      <c r="K80" s="55"/>
      <c r="L80" s="55"/>
    </row>
    <row r="81" spans="1:12" s="56" customFormat="1" ht="23.4" x14ac:dyDescent="0.45">
      <c r="A81" s="95"/>
      <c r="B81" s="34"/>
      <c r="C81" s="34"/>
      <c r="D81" s="34"/>
      <c r="E81" s="34"/>
      <c r="F81" s="34"/>
      <c r="G81" s="34"/>
      <c r="H81" s="96"/>
      <c r="I81" s="34"/>
      <c r="J81" s="55"/>
      <c r="K81" s="55"/>
      <c r="L81" s="55"/>
    </row>
    <row r="82" spans="1:12" s="56" customFormat="1" ht="23.4" x14ac:dyDescent="0.45">
      <c r="A82" s="95"/>
      <c r="B82" s="34"/>
      <c r="C82" s="34"/>
      <c r="D82" s="34"/>
      <c r="E82" s="34"/>
      <c r="F82" s="34"/>
      <c r="G82" s="34"/>
      <c r="H82" s="96"/>
      <c r="I82" s="34"/>
      <c r="J82" s="55"/>
      <c r="K82" s="55"/>
      <c r="L82" s="55"/>
    </row>
    <row r="83" spans="1:12" s="56" customFormat="1" ht="23.4" x14ac:dyDescent="0.45">
      <c r="A83" s="95"/>
      <c r="B83" s="34"/>
      <c r="C83" s="34"/>
      <c r="D83" s="34"/>
      <c r="E83" s="34"/>
      <c r="F83" s="34"/>
      <c r="G83" s="34"/>
      <c r="H83" s="96"/>
      <c r="I83" s="34"/>
      <c r="J83" s="55"/>
      <c r="K83" s="55"/>
      <c r="L83" s="55"/>
    </row>
    <row r="84" spans="1:12" s="56" customFormat="1" ht="23.4" x14ac:dyDescent="0.45">
      <c r="A84" s="95"/>
      <c r="B84" s="34"/>
      <c r="C84" s="34"/>
      <c r="D84" s="34"/>
      <c r="E84" s="34"/>
      <c r="F84" s="34"/>
      <c r="G84" s="34"/>
      <c r="H84" s="96"/>
      <c r="I84" s="34"/>
      <c r="J84" s="55"/>
      <c r="K84" s="55"/>
      <c r="L84" s="55"/>
    </row>
    <row r="85" spans="1:12" s="56" customFormat="1" ht="23.4" x14ac:dyDescent="0.45">
      <c r="A85" s="95"/>
      <c r="B85" s="34"/>
      <c r="C85" s="34"/>
      <c r="D85" s="34"/>
      <c r="E85" s="34"/>
      <c r="F85" s="34"/>
      <c r="G85" s="34"/>
      <c r="H85" s="96"/>
      <c r="I85" s="34"/>
      <c r="J85" s="55"/>
      <c r="K85" s="55"/>
      <c r="L85" s="55"/>
    </row>
    <row r="86" spans="1:12" s="56" customFormat="1" ht="23.4" x14ac:dyDescent="0.45">
      <c r="A86" s="95"/>
      <c r="B86" s="34"/>
      <c r="C86" s="34"/>
      <c r="D86" s="34"/>
      <c r="E86" s="34"/>
      <c r="F86" s="34"/>
      <c r="G86" s="34"/>
      <c r="H86" s="96"/>
      <c r="I86" s="34"/>
      <c r="J86" s="55"/>
      <c r="K86" s="55"/>
      <c r="L86" s="55"/>
    </row>
    <row r="87" spans="1:12" s="56" customFormat="1" ht="23.4" x14ac:dyDescent="0.45">
      <c r="A87" s="95"/>
      <c r="B87" s="34"/>
      <c r="C87" s="34"/>
      <c r="D87" s="34"/>
      <c r="E87" s="34"/>
      <c r="F87" s="34"/>
      <c r="G87" s="34"/>
      <c r="H87" s="96"/>
      <c r="I87" s="34"/>
      <c r="J87" s="55"/>
      <c r="K87" s="55"/>
      <c r="L87" s="55"/>
    </row>
    <row r="88" spans="1:12" s="56" customFormat="1" ht="23.4" x14ac:dyDescent="0.45">
      <c r="A88" s="95"/>
      <c r="B88" s="34"/>
      <c r="C88" s="34"/>
      <c r="D88" s="34"/>
      <c r="E88" s="34"/>
      <c r="F88" s="34"/>
      <c r="G88" s="34"/>
      <c r="H88" s="96"/>
      <c r="I88" s="34"/>
      <c r="J88" s="55"/>
      <c r="K88" s="55"/>
      <c r="L88" s="55"/>
    </row>
    <row r="89" spans="1:12" s="56" customFormat="1" ht="23.4" x14ac:dyDescent="0.45">
      <c r="A89" s="95"/>
      <c r="B89" s="34"/>
      <c r="C89" s="34"/>
      <c r="D89" s="34"/>
      <c r="E89" s="34"/>
      <c r="F89" s="34"/>
      <c r="G89" s="34"/>
      <c r="H89" s="96"/>
      <c r="I89" s="34"/>
      <c r="J89" s="55"/>
      <c r="K89" s="55"/>
      <c r="L89" s="55"/>
    </row>
    <row r="90" spans="1:12" s="56" customFormat="1" ht="23.4" x14ac:dyDescent="0.45">
      <c r="A90" s="95"/>
      <c r="B90" s="34"/>
      <c r="C90" s="34"/>
      <c r="D90" s="34"/>
      <c r="E90" s="34"/>
      <c r="F90" s="34"/>
      <c r="G90" s="34"/>
      <c r="H90" s="96"/>
      <c r="I90" s="34"/>
      <c r="J90" s="55"/>
      <c r="K90" s="55"/>
      <c r="L90" s="55"/>
    </row>
    <row r="91" spans="1:12" s="56" customFormat="1" ht="23.4" x14ac:dyDescent="0.45">
      <c r="A91" s="95"/>
      <c r="B91" s="34"/>
      <c r="C91" s="34"/>
      <c r="D91" s="34"/>
      <c r="E91" s="34"/>
      <c r="F91" s="34"/>
      <c r="G91" s="34"/>
      <c r="H91" s="96"/>
      <c r="I91" s="34"/>
      <c r="J91" s="55"/>
      <c r="K91" s="55"/>
      <c r="L91" s="55"/>
    </row>
    <row r="100" spans="2:12" x14ac:dyDescent="0.35">
      <c r="B100" s="62"/>
      <c r="C100" s="62"/>
      <c r="D100" s="62"/>
      <c r="E100" s="62"/>
    </row>
    <row r="102" spans="2:12" ht="25.8" x14ac:dyDescent="0.5">
      <c r="B102" s="100"/>
      <c r="C102" s="100"/>
      <c r="D102" s="100"/>
      <c r="E102" s="100"/>
    </row>
    <row r="103" spans="2:12" x14ac:dyDescent="0.35">
      <c r="E103" s="98"/>
      <c r="F103" s="99"/>
    </row>
    <row r="104" spans="2:12" x14ac:dyDescent="0.35">
      <c r="E104" s="98"/>
      <c r="H104" s="97"/>
    </row>
    <row r="110" spans="2:12" x14ac:dyDescent="0.35">
      <c r="B110" s="99"/>
      <c r="C110" s="99"/>
      <c r="D110" s="99"/>
      <c r="E110" s="99"/>
      <c r="F110" s="99"/>
      <c r="G110" s="99"/>
      <c r="I110" s="99"/>
      <c r="J110" s="99"/>
      <c r="K110" s="99"/>
      <c r="L110" s="99"/>
    </row>
    <row r="111" spans="2:12" x14ac:dyDescent="0.35">
      <c r="B111" s="99"/>
      <c r="C111" s="99"/>
      <c r="D111" s="99"/>
      <c r="E111" s="99"/>
      <c r="F111" s="99"/>
      <c r="G111" s="99"/>
      <c r="I111" s="99"/>
      <c r="J111" s="99"/>
      <c r="K111" s="99"/>
      <c r="L111" s="99"/>
    </row>
    <row r="112" spans="2:12" x14ac:dyDescent="0.35">
      <c r="B112" s="99"/>
      <c r="C112" s="99"/>
      <c r="D112" s="99"/>
      <c r="E112" s="99"/>
      <c r="F112" s="99"/>
      <c r="G112" s="99"/>
      <c r="I112" s="99"/>
      <c r="J112" s="99"/>
      <c r="K112" s="99"/>
      <c r="L112" s="99"/>
    </row>
    <row r="113" spans="2:12" x14ac:dyDescent="0.35">
      <c r="B113" s="99"/>
      <c r="C113" s="99"/>
      <c r="D113" s="99"/>
      <c r="E113" s="99"/>
      <c r="F113" s="99"/>
      <c r="G113" s="99"/>
      <c r="I113" s="99"/>
      <c r="J113" s="99"/>
      <c r="K113" s="99"/>
      <c r="L113" s="99"/>
    </row>
    <row r="114" spans="2:12" x14ac:dyDescent="0.35">
      <c r="B114" s="99"/>
      <c r="C114" s="99"/>
      <c r="D114" s="99"/>
      <c r="E114" s="99"/>
      <c r="F114" s="99"/>
      <c r="G114" s="99"/>
      <c r="I114" s="99"/>
      <c r="J114" s="99"/>
      <c r="K114" s="99"/>
      <c r="L114" s="99"/>
    </row>
    <row r="115" spans="2:12" x14ac:dyDescent="0.35">
      <c r="B115" s="99"/>
      <c r="C115" s="99"/>
      <c r="D115" s="99"/>
      <c r="E115" s="99"/>
      <c r="F115" s="99"/>
      <c r="G115" s="99"/>
      <c r="I115" s="99"/>
      <c r="J115" s="99"/>
      <c r="K115" s="99"/>
      <c r="L115" s="99"/>
    </row>
    <row r="116" spans="2:12" x14ac:dyDescent="0.35">
      <c r="B116" s="99"/>
      <c r="C116" s="99"/>
      <c r="D116" s="99"/>
      <c r="E116" s="99"/>
      <c r="F116" s="99"/>
      <c r="G116" s="99"/>
      <c r="I116" s="99"/>
      <c r="J116" s="99"/>
      <c r="K116" s="99"/>
      <c r="L116" s="99"/>
    </row>
  </sheetData>
  <mergeCells count="17">
    <mergeCell ref="A1:I1"/>
    <mergeCell ref="A2:I2"/>
    <mergeCell ref="A3:I3"/>
    <mergeCell ref="D6:D7"/>
    <mergeCell ref="E6:E7"/>
    <mergeCell ref="F6:F7"/>
    <mergeCell ref="G6:G7"/>
    <mergeCell ref="H6:H7"/>
    <mergeCell ref="I6:I7"/>
    <mergeCell ref="G14:G15"/>
    <mergeCell ref="H14:H15"/>
    <mergeCell ref="I14:I15"/>
    <mergeCell ref="B14:B15"/>
    <mergeCell ref="C14:C15"/>
    <mergeCell ref="D14:D15"/>
    <mergeCell ref="E14:E15"/>
    <mergeCell ref="F14:F15"/>
  </mergeCells>
  <pageMargins left="0.98425196850393704" right="0.9055118110236221" top="0.35433070866141736" bottom="0.15748031496062992" header="0.31496062992125984" footer="0.31496062992125984"/>
  <pageSetup paperSize="9" scale="58" orientation="landscape" r:id="rId1"/>
  <headerFooter>
    <oddHeader>&amp;R4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M40"/>
  <sheetViews>
    <sheetView topLeftCell="A16" workbookViewId="0">
      <selection activeCell="A37" sqref="A37"/>
    </sheetView>
  </sheetViews>
  <sheetFormatPr defaultColWidth="8.19921875" defaultRowHeight="21" x14ac:dyDescent="0.4"/>
  <cols>
    <col min="1" max="1" width="55.796875" style="13" customWidth="1"/>
    <col min="2" max="2" width="19.296875" style="13" customWidth="1"/>
    <col min="3" max="3" width="17.59765625" style="13" customWidth="1"/>
    <col min="4" max="4" width="18.296875" style="13" customWidth="1"/>
    <col min="5" max="5" width="17.8984375" style="13" customWidth="1"/>
    <col min="6" max="6" width="19.296875" style="13" customWidth="1"/>
    <col min="7" max="7" width="13.5" style="124" customWidth="1"/>
    <col min="8" max="8" width="9.8984375" style="13" customWidth="1"/>
    <col min="9" max="9" width="14.296875" style="13" customWidth="1"/>
    <col min="10" max="10" width="15.8984375" style="13" bestFit="1" customWidth="1"/>
    <col min="11" max="12" width="7.5" style="13" bestFit="1" customWidth="1"/>
    <col min="13" max="256" width="8.19921875" style="13"/>
    <col min="257" max="257" width="56.3984375" style="13" customWidth="1"/>
    <col min="258" max="258" width="18" style="13" customWidth="1"/>
    <col min="259" max="259" width="15.8984375" style="13" customWidth="1"/>
    <col min="260" max="261" width="14.796875" style="13" bestFit="1" customWidth="1"/>
    <col min="262" max="262" width="18.296875" style="13" customWidth="1"/>
    <col min="263" max="263" width="13.09765625" style="13" bestFit="1" customWidth="1"/>
    <col min="264" max="264" width="8.3984375" style="13" customWidth="1"/>
    <col min="265" max="265" width="14.296875" style="13" customWidth="1"/>
    <col min="266" max="266" width="15.8984375" style="13" bestFit="1" customWidth="1"/>
    <col min="267" max="268" width="7.5" style="13" bestFit="1" customWidth="1"/>
    <col min="269" max="512" width="8.19921875" style="13"/>
    <col min="513" max="513" width="56.3984375" style="13" customWidth="1"/>
    <col min="514" max="514" width="18" style="13" customWidth="1"/>
    <col min="515" max="515" width="15.8984375" style="13" customWidth="1"/>
    <col min="516" max="517" width="14.796875" style="13" bestFit="1" customWidth="1"/>
    <col min="518" max="518" width="18.296875" style="13" customWidth="1"/>
    <col min="519" max="519" width="13.09765625" style="13" bestFit="1" customWidth="1"/>
    <col min="520" max="520" width="8.3984375" style="13" customWidth="1"/>
    <col min="521" max="521" width="14.296875" style="13" customWidth="1"/>
    <col min="522" max="522" width="15.8984375" style="13" bestFit="1" customWidth="1"/>
    <col min="523" max="524" width="7.5" style="13" bestFit="1" customWidth="1"/>
    <col min="525" max="768" width="8.19921875" style="13"/>
    <col min="769" max="769" width="56.3984375" style="13" customWidth="1"/>
    <col min="770" max="770" width="18" style="13" customWidth="1"/>
    <col min="771" max="771" width="15.8984375" style="13" customWidth="1"/>
    <col min="772" max="773" width="14.796875" style="13" bestFit="1" customWidth="1"/>
    <col min="774" max="774" width="18.296875" style="13" customWidth="1"/>
    <col min="775" max="775" width="13.09765625" style="13" bestFit="1" customWidth="1"/>
    <col min="776" max="776" width="8.3984375" style="13" customWidth="1"/>
    <col min="777" max="777" width="14.296875" style="13" customWidth="1"/>
    <col min="778" max="778" width="15.8984375" style="13" bestFit="1" customWidth="1"/>
    <col min="779" max="780" width="7.5" style="13" bestFit="1" customWidth="1"/>
    <col min="781" max="1024" width="8.19921875" style="13"/>
    <col min="1025" max="1025" width="56.3984375" style="13" customWidth="1"/>
    <col min="1026" max="1026" width="18" style="13" customWidth="1"/>
    <col min="1027" max="1027" width="15.8984375" style="13" customWidth="1"/>
    <col min="1028" max="1029" width="14.796875" style="13" bestFit="1" customWidth="1"/>
    <col min="1030" max="1030" width="18.296875" style="13" customWidth="1"/>
    <col min="1031" max="1031" width="13.09765625" style="13" bestFit="1" customWidth="1"/>
    <col min="1032" max="1032" width="8.3984375" style="13" customWidth="1"/>
    <col min="1033" max="1033" width="14.296875" style="13" customWidth="1"/>
    <col min="1034" max="1034" width="15.8984375" style="13" bestFit="1" customWidth="1"/>
    <col min="1035" max="1036" width="7.5" style="13" bestFit="1" customWidth="1"/>
    <col min="1037" max="1280" width="8.19921875" style="13"/>
    <col min="1281" max="1281" width="56.3984375" style="13" customWidth="1"/>
    <col min="1282" max="1282" width="18" style="13" customWidth="1"/>
    <col min="1283" max="1283" width="15.8984375" style="13" customWidth="1"/>
    <col min="1284" max="1285" width="14.796875" style="13" bestFit="1" customWidth="1"/>
    <col min="1286" max="1286" width="18.296875" style="13" customWidth="1"/>
    <col min="1287" max="1287" width="13.09765625" style="13" bestFit="1" customWidth="1"/>
    <col min="1288" max="1288" width="8.3984375" style="13" customWidth="1"/>
    <col min="1289" max="1289" width="14.296875" style="13" customWidth="1"/>
    <col min="1290" max="1290" width="15.8984375" style="13" bestFit="1" customWidth="1"/>
    <col min="1291" max="1292" width="7.5" style="13" bestFit="1" customWidth="1"/>
    <col min="1293" max="1536" width="8.19921875" style="13"/>
    <col min="1537" max="1537" width="56.3984375" style="13" customWidth="1"/>
    <col min="1538" max="1538" width="18" style="13" customWidth="1"/>
    <col min="1539" max="1539" width="15.8984375" style="13" customWidth="1"/>
    <col min="1540" max="1541" width="14.796875" style="13" bestFit="1" customWidth="1"/>
    <col min="1542" max="1542" width="18.296875" style="13" customWidth="1"/>
    <col min="1543" max="1543" width="13.09765625" style="13" bestFit="1" customWidth="1"/>
    <col min="1544" max="1544" width="8.3984375" style="13" customWidth="1"/>
    <col min="1545" max="1545" width="14.296875" style="13" customWidth="1"/>
    <col min="1546" max="1546" width="15.8984375" style="13" bestFit="1" customWidth="1"/>
    <col min="1547" max="1548" width="7.5" style="13" bestFit="1" customWidth="1"/>
    <col min="1549" max="1792" width="8.19921875" style="13"/>
    <col min="1793" max="1793" width="56.3984375" style="13" customWidth="1"/>
    <col min="1794" max="1794" width="18" style="13" customWidth="1"/>
    <col min="1795" max="1795" width="15.8984375" style="13" customWidth="1"/>
    <col min="1796" max="1797" width="14.796875" style="13" bestFit="1" customWidth="1"/>
    <col min="1798" max="1798" width="18.296875" style="13" customWidth="1"/>
    <col min="1799" max="1799" width="13.09765625" style="13" bestFit="1" customWidth="1"/>
    <col min="1800" max="1800" width="8.3984375" style="13" customWidth="1"/>
    <col min="1801" max="1801" width="14.296875" style="13" customWidth="1"/>
    <col min="1802" max="1802" width="15.8984375" style="13" bestFit="1" customWidth="1"/>
    <col min="1803" max="1804" width="7.5" style="13" bestFit="1" customWidth="1"/>
    <col min="1805" max="2048" width="8.19921875" style="13"/>
    <col min="2049" max="2049" width="56.3984375" style="13" customWidth="1"/>
    <col min="2050" max="2050" width="18" style="13" customWidth="1"/>
    <col min="2051" max="2051" width="15.8984375" style="13" customWidth="1"/>
    <col min="2052" max="2053" width="14.796875" style="13" bestFit="1" customWidth="1"/>
    <col min="2054" max="2054" width="18.296875" style="13" customWidth="1"/>
    <col min="2055" max="2055" width="13.09765625" style="13" bestFit="1" customWidth="1"/>
    <col min="2056" max="2056" width="8.3984375" style="13" customWidth="1"/>
    <col min="2057" max="2057" width="14.296875" style="13" customWidth="1"/>
    <col min="2058" max="2058" width="15.8984375" style="13" bestFit="1" customWidth="1"/>
    <col min="2059" max="2060" width="7.5" style="13" bestFit="1" customWidth="1"/>
    <col min="2061" max="2304" width="8.19921875" style="13"/>
    <col min="2305" max="2305" width="56.3984375" style="13" customWidth="1"/>
    <col min="2306" max="2306" width="18" style="13" customWidth="1"/>
    <col min="2307" max="2307" width="15.8984375" style="13" customWidth="1"/>
    <col min="2308" max="2309" width="14.796875" style="13" bestFit="1" customWidth="1"/>
    <col min="2310" max="2310" width="18.296875" style="13" customWidth="1"/>
    <col min="2311" max="2311" width="13.09765625" style="13" bestFit="1" customWidth="1"/>
    <col min="2312" max="2312" width="8.3984375" style="13" customWidth="1"/>
    <col min="2313" max="2313" width="14.296875" style="13" customWidth="1"/>
    <col min="2314" max="2314" width="15.8984375" style="13" bestFit="1" customWidth="1"/>
    <col min="2315" max="2316" width="7.5" style="13" bestFit="1" customWidth="1"/>
    <col min="2317" max="2560" width="8.19921875" style="13"/>
    <col min="2561" max="2561" width="56.3984375" style="13" customWidth="1"/>
    <col min="2562" max="2562" width="18" style="13" customWidth="1"/>
    <col min="2563" max="2563" width="15.8984375" style="13" customWidth="1"/>
    <col min="2564" max="2565" width="14.796875" style="13" bestFit="1" customWidth="1"/>
    <col min="2566" max="2566" width="18.296875" style="13" customWidth="1"/>
    <col min="2567" max="2567" width="13.09765625" style="13" bestFit="1" customWidth="1"/>
    <col min="2568" max="2568" width="8.3984375" style="13" customWidth="1"/>
    <col min="2569" max="2569" width="14.296875" style="13" customWidth="1"/>
    <col min="2570" max="2570" width="15.8984375" style="13" bestFit="1" customWidth="1"/>
    <col min="2571" max="2572" width="7.5" style="13" bestFit="1" customWidth="1"/>
    <col min="2573" max="2816" width="8.19921875" style="13"/>
    <col min="2817" max="2817" width="56.3984375" style="13" customWidth="1"/>
    <col min="2818" max="2818" width="18" style="13" customWidth="1"/>
    <col min="2819" max="2819" width="15.8984375" style="13" customWidth="1"/>
    <col min="2820" max="2821" width="14.796875" style="13" bestFit="1" customWidth="1"/>
    <col min="2822" max="2822" width="18.296875" style="13" customWidth="1"/>
    <col min="2823" max="2823" width="13.09765625" style="13" bestFit="1" customWidth="1"/>
    <col min="2824" max="2824" width="8.3984375" style="13" customWidth="1"/>
    <col min="2825" max="2825" width="14.296875" style="13" customWidth="1"/>
    <col min="2826" max="2826" width="15.8984375" style="13" bestFit="1" customWidth="1"/>
    <col min="2827" max="2828" width="7.5" style="13" bestFit="1" customWidth="1"/>
    <col min="2829" max="3072" width="8.19921875" style="13"/>
    <col min="3073" max="3073" width="56.3984375" style="13" customWidth="1"/>
    <col min="3074" max="3074" width="18" style="13" customWidth="1"/>
    <col min="3075" max="3075" width="15.8984375" style="13" customWidth="1"/>
    <col min="3076" max="3077" width="14.796875" style="13" bestFit="1" customWidth="1"/>
    <col min="3078" max="3078" width="18.296875" style="13" customWidth="1"/>
    <col min="3079" max="3079" width="13.09765625" style="13" bestFit="1" customWidth="1"/>
    <col min="3080" max="3080" width="8.3984375" style="13" customWidth="1"/>
    <col min="3081" max="3081" width="14.296875" style="13" customWidth="1"/>
    <col min="3082" max="3082" width="15.8984375" style="13" bestFit="1" customWidth="1"/>
    <col min="3083" max="3084" width="7.5" style="13" bestFit="1" customWidth="1"/>
    <col min="3085" max="3328" width="8.19921875" style="13"/>
    <col min="3329" max="3329" width="56.3984375" style="13" customWidth="1"/>
    <col min="3330" max="3330" width="18" style="13" customWidth="1"/>
    <col min="3331" max="3331" width="15.8984375" style="13" customWidth="1"/>
    <col min="3332" max="3333" width="14.796875" style="13" bestFit="1" customWidth="1"/>
    <col min="3334" max="3334" width="18.296875" style="13" customWidth="1"/>
    <col min="3335" max="3335" width="13.09765625" style="13" bestFit="1" customWidth="1"/>
    <col min="3336" max="3336" width="8.3984375" style="13" customWidth="1"/>
    <col min="3337" max="3337" width="14.296875" style="13" customWidth="1"/>
    <col min="3338" max="3338" width="15.8984375" style="13" bestFit="1" customWidth="1"/>
    <col min="3339" max="3340" width="7.5" style="13" bestFit="1" customWidth="1"/>
    <col min="3341" max="3584" width="8.19921875" style="13"/>
    <col min="3585" max="3585" width="56.3984375" style="13" customWidth="1"/>
    <col min="3586" max="3586" width="18" style="13" customWidth="1"/>
    <col min="3587" max="3587" width="15.8984375" style="13" customWidth="1"/>
    <col min="3588" max="3589" width="14.796875" style="13" bestFit="1" customWidth="1"/>
    <col min="3590" max="3590" width="18.296875" style="13" customWidth="1"/>
    <col min="3591" max="3591" width="13.09765625" style="13" bestFit="1" customWidth="1"/>
    <col min="3592" max="3592" width="8.3984375" style="13" customWidth="1"/>
    <col min="3593" max="3593" width="14.296875" style="13" customWidth="1"/>
    <col min="3594" max="3594" width="15.8984375" style="13" bestFit="1" customWidth="1"/>
    <col min="3595" max="3596" width="7.5" style="13" bestFit="1" customWidth="1"/>
    <col min="3597" max="3840" width="8.19921875" style="13"/>
    <col min="3841" max="3841" width="56.3984375" style="13" customWidth="1"/>
    <col min="3842" max="3842" width="18" style="13" customWidth="1"/>
    <col min="3843" max="3843" width="15.8984375" style="13" customWidth="1"/>
    <col min="3844" max="3845" width="14.796875" style="13" bestFit="1" customWidth="1"/>
    <col min="3846" max="3846" width="18.296875" style="13" customWidth="1"/>
    <col min="3847" max="3847" width="13.09765625" style="13" bestFit="1" customWidth="1"/>
    <col min="3848" max="3848" width="8.3984375" style="13" customWidth="1"/>
    <col min="3849" max="3849" width="14.296875" style="13" customWidth="1"/>
    <col min="3850" max="3850" width="15.8984375" style="13" bestFit="1" customWidth="1"/>
    <col min="3851" max="3852" width="7.5" style="13" bestFit="1" customWidth="1"/>
    <col min="3853" max="4096" width="8.19921875" style="13"/>
    <col min="4097" max="4097" width="56.3984375" style="13" customWidth="1"/>
    <col min="4098" max="4098" width="18" style="13" customWidth="1"/>
    <col min="4099" max="4099" width="15.8984375" style="13" customWidth="1"/>
    <col min="4100" max="4101" width="14.796875" style="13" bestFit="1" customWidth="1"/>
    <col min="4102" max="4102" width="18.296875" style="13" customWidth="1"/>
    <col min="4103" max="4103" width="13.09765625" style="13" bestFit="1" customWidth="1"/>
    <col min="4104" max="4104" width="8.3984375" style="13" customWidth="1"/>
    <col min="4105" max="4105" width="14.296875" style="13" customWidth="1"/>
    <col min="4106" max="4106" width="15.8984375" style="13" bestFit="1" customWidth="1"/>
    <col min="4107" max="4108" width="7.5" style="13" bestFit="1" customWidth="1"/>
    <col min="4109" max="4352" width="8.19921875" style="13"/>
    <col min="4353" max="4353" width="56.3984375" style="13" customWidth="1"/>
    <col min="4354" max="4354" width="18" style="13" customWidth="1"/>
    <col min="4355" max="4355" width="15.8984375" style="13" customWidth="1"/>
    <col min="4356" max="4357" width="14.796875" style="13" bestFit="1" customWidth="1"/>
    <col min="4358" max="4358" width="18.296875" style="13" customWidth="1"/>
    <col min="4359" max="4359" width="13.09765625" style="13" bestFit="1" customWidth="1"/>
    <col min="4360" max="4360" width="8.3984375" style="13" customWidth="1"/>
    <col min="4361" max="4361" width="14.296875" style="13" customWidth="1"/>
    <col min="4362" max="4362" width="15.8984375" style="13" bestFit="1" customWidth="1"/>
    <col min="4363" max="4364" width="7.5" style="13" bestFit="1" customWidth="1"/>
    <col min="4365" max="4608" width="8.19921875" style="13"/>
    <col min="4609" max="4609" width="56.3984375" style="13" customWidth="1"/>
    <col min="4610" max="4610" width="18" style="13" customWidth="1"/>
    <col min="4611" max="4611" width="15.8984375" style="13" customWidth="1"/>
    <col min="4612" max="4613" width="14.796875" style="13" bestFit="1" customWidth="1"/>
    <col min="4614" max="4614" width="18.296875" style="13" customWidth="1"/>
    <col min="4615" max="4615" width="13.09765625" style="13" bestFit="1" customWidth="1"/>
    <col min="4616" max="4616" width="8.3984375" style="13" customWidth="1"/>
    <col min="4617" max="4617" width="14.296875" style="13" customWidth="1"/>
    <col min="4618" max="4618" width="15.8984375" style="13" bestFit="1" customWidth="1"/>
    <col min="4619" max="4620" width="7.5" style="13" bestFit="1" customWidth="1"/>
    <col min="4621" max="4864" width="8.19921875" style="13"/>
    <col min="4865" max="4865" width="56.3984375" style="13" customWidth="1"/>
    <col min="4866" max="4866" width="18" style="13" customWidth="1"/>
    <col min="4867" max="4867" width="15.8984375" style="13" customWidth="1"/>
    <col min="4868" max="4869" width="14.796875" style="13" bestFit="1" customWidth="1"/>
    <col min="4870" max="4870" width="18.296875" style="13" customWidth="1"/>
    <col min="4871" max="4871" width="13.09765625" style="13" bestFit="1" customWidth="1"/>
    <col min="4872" max="4872" width="8.3984375" style="13" customWidth="1"/>
    <col min="4873" max="4873" width="14.296875" style="13" customWidth="1"/>
    <col min="4874" max="4874" width="15.8984375" style="13" bestFit="1" customWidth="1"/>
    <col min="4875" max="4876" width="7.5" style="13" bestFit="1" customWidth="1"/>
    <col min="4877" max="5120" width="8.19921875" style="13"/>
    <col min="5121" max="5121" width="56.3984375" style="13" customWidth="1"/>
    <col min="5122" max="5122" width="18" style="13" customWidth="1"/>
    <col min="5123" max="5123" width="15.8984375" style="13" customWidth="1"/>
    <col min="5124" max="5125" width="14.796875" style="13" bestFit="1" customWidth="1"/>
    <col min="5126" max="5126" width="18.296875" style="13" customWidth="1"/>
    <col min="5127" max="5127" width="13.09765625" style="13" bestFit="1" customWidth="1"/>
    <col min="5128" max="5128" width="8.3984375" style="13" customWidth="1"/>
    <col min="5129" max="5129" width="14.296875" style="13" customWidth="1"/>
    <col min="5130" max="5130" width="15.8984375" style="13" bestFit="1" customWidth="1"/>
    <col min="5131" max="5132" width="7.5" style="13" bestFit="1" customWidth="1"/>
    <col min="5133" max="5376" width="8.19921875" style="13"/>
    <col min="5377" max="5377" width="56.3984375" style="13" customWidth="1"/>
    <col min="5378" max="5378" width="18" style="13" customWidth="1"/>
    <col min="5379" max="5379" width="15.8984375" style="13" customWidth="1"/>
    <col min="5380" max="5381" width="14.796875" style="13" bestFit="1" customWidth="1"/>
    <col min="5382" max="5382" width="18.296875" style="13" customWidth="1"/>
    <col min="5383" max="5383" width="13.09765625" style="13" bestFit="1" customWidth="1"/>
    <col min="5384" max="5384" width="8.3984375" style="13" customWidth="1"/>
    <col min="5385" max="5385" width="14.296875" style="13" customWidth="1"/>
    <col min="5386" max="5386" width="15.8984375" style="13" bestFit="1" customWidth="1"/>
    <col min="5387" max="5388" width="7.5" style="13" bestFit="1" customWidth="1"/>
    <col min="5389" max="5632" width="8.19921875" style="13"/>
    <col min="5633" max="5633" width="56.3984375" style="13" customWidth="1"/>
    <col min="5634" max="5634" width="18" style="13" customWidth="1"/>
    <col min="5635" max="5635" width="15.8984375" style="13" customWidth="1"/>
    <col min="5636" max="5637" width="14.796875" style="13" bestFit="1" customWidth="1"/>
    <col min="5638" max="5638" width="18.296875" style="13" customWidth="1"/>
    <col min="5639" max="5639" width="13.09765625" style="13" bestFit="1" customWidth="1"/>
    <col min="5640" max="5640" width="8.3984375" style="13" customWidth="1"/>
    <col min="5641" max="5641" width="14.296875" style="13" customWidth="1"/>
    <col min="5642" max="5642" width="15.8984375" style="13" bestFit="1" customWidth="1"/>
    <col min="5643" max="5644" width="7.5" style="13" bestFit="1" customWidth="1"/>
    <col min="5645" max="5888" width="8.19921875" style="13"/>
    <col min="5889" max="5889" width="56.3984375" style="13" customWidth="1"/>
    <col min="5890" max="5890" width="18" style="13" customWidth="1"/>
    <col min="5891" max="5891" width="15.8984375" style="13" customWidth="1"/>
    <col min="5892" max="5893" width="14.796875" style="13" bestFit="1" customWidth="1"/>
    <col min="5894" max="5894" width="18.296875" style="13" customWidth="1"/>
    <col min="5895" max="5895" width="13.09765625" style="13" bestFit="1" customWidth="1"/>
    <col min="5896" max="5896" width="8.3984375" style="13" customWidth="1"/>
    <col min="5897" max="5897" width="14.296875" style="13" customWidth="1"/>
    <col min="5898" max="5898" width="15.8984375" style="13" bestFit="1" customWidth="1"/>
    <col min="5899" max="5900" width="7.5" style="13" bestFit="1" customWidth="1"/>
    <col min="5901" max="6144" width="8.19921875" style="13"/>
    <col min="6145" max="6145" width="56.3984375" style="13" customWidth="1"/>
    <col min="6146" max="6146" width="18" style="13" customWidth="1"/>
    <col min="6147" max="6147" width="15.8984375" style="13" customWidth="1"/>
    <col min="6148" max="6149" width="14.796875" style="13" bestFit="1" customWidth="1"/>
    <col min="6150" max="6150" width="18.296875" style="13" customWidth="1"/>
    <col min="6151" max="6151" width="13.09765625" style="13" bestFit="1" customWidth="1"/>
    <col min="6152" max="6152" width="8.3984375" style="13" customWidth="1"/>
    <col min="6153" max="6153" width="14.296875" style="13" customWidth="1"/>
    <col min="6154" max="6154" width="15.8984375" style="13" bestFit="1" customWidth="1"/>
    <col min="6155" max="6156" width="7.5" style="13" bestFit="1" customWidth="1"/>
    <col min="6157" max="6400" width="8.19921875" style="13"/>
    <col min="6401" max="6401" width="56.3984375" style="13" customWidth="1"/>
    <col min="6402" max="6402" width="18" style="13" customWidth="1"/>
    <col min="6403" max="6403" width="15.8984375" style="13" customWidth="1"/>
    <col min="6404" max="6405" width="14.796875" style="13" bestFit="1" customWidth="1"/>
    <col min="6406" max="6406" width="18.296875" style="13" customWidth="1"/>
    <col min="6407" max="6407" width="13.09765625" style="13" bestFit="1" customWidth="1"/>
    <col min="6408" max="6408" width="8.3984375" style="13" customWidth="1"/>
    <col min="6409" max="6409" width="14.296875" style="13" customWidth="1"/>
    <col min="6410" max="6410" width="15.8984375" style="13" bestFit="1" customWidth="1"/>
    <col min="6411" max="6412" width="7.5" style="13" bestFit="1" customWidth="1"/>
    <col min="6413" max="6656" width="8.19921875" style="13"/>
    <col min="6657" max="6657" width="56.3984375" style="13" customWidth="1"/>
    <col min="6658" max="6658" width="18" style="13" customWidth="1"/>
    <col min="6659" max="6659" width="15.8984375" style="13" customWidth="1"/>
    <col min="6660" max="6661" width="14.796875" style="13" bestFit="1" customWidth="1"/>
    <col min="6662" max="6662" width="18.296875" style="13" customWidth="1"/>
    <col min="6663" max="6663" width="13.09765625" style="13" bestFit="1" customWidth="1"/>
    <col min="6664" max="6664" width="8.3984375" style="13" customWidth="1"/>
    <col min="6665" max="6665" width="14.296875" style="13" customWidth="1"/>
    <col min="6666" max="6666" width="15.8984375" style="13" bestFit="1" customWidth="1"/>
    <col min="6667" max="6668" width="7.5" style="13" bestFit="1" customWidth="1"/>
    <col min="6669" max="6912" width="8.19921875" style="13"/>
    <col min="6913" max="6913" width="56.3984375" style="13" customWidth="1"/>
    <col min="6914" max="6914" width="18" style="13" customWidth="1"/>
    <col min="6915" max="6915" width="15.8984375" style="13" customWidth="1"/>
    <col min="6916" max="6917" width="14.796875" style="13" bestFit="1" customWidth="1"/>
    <col min="6918" max="6918" width="18.296875" style="13" customWidth="1"/>
    <col min="6919" max="6919" width="13.09765625" style="13" bestFit="1" customWidth="1"/>
    <col min="6920" max="6920" width="8.3984375" style="13" customWidth="1"/>
    <col min="6921" max="6921" width="14.296875" style="13" customWidth="1"/>
    <col min="6922" max="6922" width="15.8984375" style="13" bestFit="1" customWidth="1"/>
    <col min="6923" max="6924" width="7.5" style="13" bestFit="1" customWidth="1"/>
    <col min="6925" max="7168" width="8.19921875" style="13"/>
    <col min="7169" max="7169" width="56.3984375" style="13" customWidth="1"/>
    <col min="7170" max="7170" width="18" style="13" customWidth="1"/>
    <col min="7171" max="7171" width="15.8984375" style="13" customWidth="1"/>
    <col min="7172" max="7173" width="14.796875" style="13" bestFit="1" customWidth="1"/>
    <col min="7174" max="7174" width="18.296875" style="13" customWidth="1"/>
    <col min="7175" max="7175" width="13.09765625" style="13" bestFit="1" customWidth="1"/>
    <col min="7176" max="7176" width="8.3984375" style="13" customWidth="1"/>
    <col min="7177" max="7177" width="14.296875" style="13" customWidth="1"/>
    <col min="7178" max="7178" width="15.8984375" style="13" bestFit="1" customWidth="1"/>
    <col min="7179" max="7180" width="7.5" style="13" bestFit="1" customWidth="1"/>
    <col min="7181" max="7424" width="8.19921875" style="13"/>
    <col min="7425" max="7425" width="56.3984375" style="13" customWidth="1"/>
    <col min="7426" max="7426" width="18" style="13" customWidth="1"/>
    <col min="7427" max="7427" width="15.8984375" style="13" customWidth="1"/>
    <col min="7428" max="7429" width="14.796875" style="13" bestFit="1" customWidth="1"/>
    <col min="7430" max="7430" width="18.296875" style="13" customWidth="1"/>
    <col min="7431" max="7431" width="13.09765625" style="13" bestFit="1" customWidth="1"/>
    <col min="7432" max="7432" width="8.3984375" style="13" customWidth="1"/>
    <col min="7433" max="7433" width="14.296875" style="13" customWidth="1"/>
    <col min="7434" max="7434" width="15.8984375" style="13" bestFit="1" customWidth="1"/>
    <col min="7435" max="7436" width="7.5" style="13" bestFit="1" customWidth="1"/>
    <col min="7437" max="7680" width="8.19921875" style="13"/>
    <col min="7681" max="7681" width="56.3984375" style="13" customWidth="1"/>
    <col min="7682" max="7682" width="18" style="13" customWidth="1"/>
    <col min="7683" max="7683" width="15.8984375" style="13" customWidth="1"/>
    <col min="7684" max="7685" width="14.796875" style="13" bestFit="1" customWidth="1"/>
    <col min="7686" max="7686" width="18.296875" style="13" customWidth="1"/>
    <col min="7687" max="7687" width="13.09765625" style="13" bestFit="1" customWidth="1"/>
    <col min="7688" max="7688" width="8.3984375" style="13" customWidth="1"/>
    <col min="7689" max="7689" width="14.296875" style="13" customWidth="1"/>
    <col min="7690" max="7690" width="15.8984375" style="13" bestFit="1" customWidth="1"/>
    <col min="7691" max="7692" width="7.5" style="13" bestFit="1" customWidth="1"/>
    <col min="7693" max="7936" width="8.19921875" style="13"/>
    <col min="7937" max="7937" width="56.3984375" style="13" customWidth="1"/>
    <col min="7938" max="7938" width="18" style="13" customWidth="1"/>
    <col min="7939" max="7939" width="15.8984375" style="13" customWidth="1"/>
    <col min="7940" max="7941" width="14.796875" style="13" bestFit="1" customWidth="1"/>
    <col min="7942" max="7942" width="18.296875" style="13" customWidth="1"/>
    <col min="7943" max="7943" width="13.09765625" style="13" bestFit="1" customWidth="1"/>
    <col min="7944" max="7944" width="8.3984375" style="13" customWidth="1"/>
    <col min="7945" max="7945" width="14.296875" style="13" customWidth="1"/>
    <col min="7946" max="7946" width="15.8984375" style="13" bestFit="1" customWidth="1"/>
    <col min="7947" max="7948" width="7.5" style="13" bestFit="1" customWidth="1"/>
    <col min="7949" max="8192" width="8.19921875" style="13"/>
    <col min="8193" max="8193" width="56.3984375" style="13" customWidth="1"/>
    <col min="8194" max="8194" width="18" style="13" customWidth="1"/>
    <col min="8195" max="8195" width="15.8984375" style="13" customWidth="1"/>
    <col min="8196" max="8197" width="14.796875" style="13" bestFit="1" customWidth="1"/>
    <col min="8198" max="8198" width="18.296875" style="13" customWidth="1"/>
    <col min="8199" max="8199" width="13.09765625" style="13" bestFit="1" customWidth="1"/>
    <col min="8200" max="8200" width="8.3984375" style="13" customWidth="1"/>
    <col min="8201" max="8201" width="14.296875" style="13" customWidth="1"/>
    <col min="8202" max="8202" width="15.8984375" style="13" bestFit="1" customWidth="1"/>
    <col min="8203" max="8204" width="7.5" style="13" bestFit="1" customWidth="1"/>
    <col min="8205" max="8448" width="8.19921875" style="13"/>
    <col min="8449" max="8449" width="56.3984375" style="13" customWidth="1"/>
    <col min="8450" max="8450" width="18" style="13" customWidth="1"/>
    <col min="8451" max="8451" width="15.8984375" style="13" customWidth="1"/>
    <col min="8452" max="8453" width="14.796875" style="13" bestFit="1" customWidth="1"/>
    <col min="8454" max="8454" width="18.296875" style="13" customWidth="1"/>
    <col min="8455" max="8455" width="13.09765625" style="13" bestFit="1" customWidth="1"/>
    <col min="8456" max="8456" width="8.3984375" style="13" customWidth="1"/>
    <col min="8457" max="8457" width="14.296875" style="13" customWidth="1"/>
    <col min="8458" max="8458" width="15.8984375" style="13" bestFit="1" customWidth="1"/>
    <col min="8459" max="8460" width="7.5" style="13" bestFit="1" customWidth="1"/>
    <col min="8461" max="8704" width="8.19921875" style="13"/>
    <col min="8705" max="8705" width="56.3984375" style="13" customWidth="1"/>
    <col min="8706" max="8706" width="18" style="13" customWidth="1"/>
    <col min="8707" max="8707" width="15.8984375" style="13" customWidth="1"/>
    <col min="8708" max="8709" width="14.796875" style="13" bestFit="1" customWidth="1"/>
    <col min="8710" max="8710" width="18.296875" style="13" customWidth="1"/>
    <col min="8711" max="8711" width="13.09765625" style="13" bestFit="1" customWidth="1"/>
    <col min="8712" max="8712" width="8.3984375" style="13" customWidth="1"/>
    <col min="8713" max="8713" width="14.296875" style="13" customWidth="1"/>
    <col min="8714" max="8714" width="15.8984375" style="13" bestFit="1" customWidth="1"/>
    <col min="8715" max="8716" width="7.5" style="13" bestFit="1" customWidth="1"/>
    <col min="8717" max="8960" width="8.19921875" style="13"/>
    <col min="8961" max="8961" width="56.3984375" style="13" customWidth="1"/>
    <col min="8962" max="8962" width="18" style="13" customWidth="1"/>
    <col min="8963" max="8963" width="15.8984375" style="13" customWidth="1"/>
    <col min="8964" max="8965" width="14.796875" style="13" bestFit="1" customWidth="1"/>
    <col min="8966" max="8966" width="18.296875" style="13" customWidth="1"/>
    <col min="8967" max="8967" width="13.09765625" style="13" bestFit="1" customWidth="1"/>
    <col min="8968" max="8968" width="8.3984375" style="13" customWidth="1"/>
    <col min="8969" max="8969" width="14.296875" style="13" customWidth="1"/>
    <col min="8970" max="8970" width="15.8984375" style="13" bestFit="1" customWidth="1"/>
    <col min="8971" max="8972" width="7.5" style="13" bestFit="1" customWidth="1"/>
    <col min="8973" max="9216" width="8.19921875" style="13"/>
    <col min="9217" max="9217" width="56.3984375" style="13" customWidth="1"/>
    <col min="9218" max="9218" width="18" style="13" customWidth="1"/>
    <col min="9219" max="9219" width="15.8984375" style="13" customWidth="1"/>
    <col min="9220" max="9221" width="14.796875" style="13" bestFit="1" customWidth="1"/>
    <col min="9222" max="9222" width="18.296875" style="13" customWidth="1"/>
    <col min="9223" max="9223" width="13.09765625" style="13" bestFit="1" customWidth="1"/>
    <col min="9224" max="9224" width="8.3984375" style="13" customWidth="1"/>
    <col min="9225" max="9225" width="14.296875" style="13" customWidth="1"/>
    <col min="9226" max="9226" width="15.8984375" style="13" bestFit="1" customWidth="1"/>
    <col min="9227" max="9228" width="7.5" style="13" bestFit="1" customWidth="1"/>
    <col min="9229" max="9472" width="8.19921875" style="13"/>
    <col min="9473" max="9473" width="56.3984375" style="13" customWidth="1"/>
    <col min="9474" max="9474" width="18" style="13" customWidth="1"/>
    <col min="9475" max="9475" width="15.8984375" style="13" customWidth="1"/>
    <col min="9476" max="9477" width="14.796875" style="13" bestFit="1" customWidth="1"/>
    <col min="9478" max="9478" width="18.296875" style="13" customWidth="1"/>
    <col min="9479" max="9479" width="13.09765625" style="13" bestFit="1" customWidth="1"/>
    <col min="9480" max="9480" width="8.3984375" style="13" customWidth="1"/>
    <col min="9481" max="9481" width="14.296875" style="13" customWidth="1"/>
    <col min="9482" max="9482" width="15.8984375" style="13" bestFit="1" customWidth="1"/>
    <col min="9483" max="9484" width="7.5" style="13" bestFit="1" customWidth="1"/>
    <col min="9485" max="9728" width="8.19921875" style="13"/>
    <col min="9729" max="9729" width="56.3984375" style="13" customWidth="1"/>
    <col min="9730" max="9730" width="18" style="13" customWidth="1"/>
    <col min="9731" max="9731" width="15.8984375" style="13" customWidth="1"/>
    <col min="9732" max="9733" width="14.796875" style="13" bestFit="1" customWidth="1"/>
    <col min="9734" max="9734" width="18.296875" style="13" customWidth="1"/>
    <col min="9735" max="9735" width="13.09765625" style="13" bestFit="1" customWidth="1"/>
    <col min="9736" max="9736" width="8.3984375" style="13" customWidth="1"/>
    <col min="9737" max="9737" width="14.296875" style="13" customWidth="1"/>
    <col min="9738" max="9738" width="15.8984375" style="13" bestFit="1" customWidth="1"/>
    <col min="9739" max="9740" width="7.5" style="13" bestFit="1" customWidth="1"/>
    <col min="9741" max="9984" width="8.19921875" style="13"/>
    <col min="9985" max="9985" width="56.3984375" style="13" customWidth="1"/>
    <col min="9986" max="9986" width="18" style="13" customWidth="1"/>
    <col min="9987" max="9987" width="15.8984375" style="13" customWidth="1"/>
    <col min="9988" max="9989" width="14.796875" style="13" bestFit="1" customWidth="1"/>
    <col min="9990" max="9990" width="18.296875" style="13" customWidth="1"/>
    <col min="9991" max="9991" width="13.09765625" style="13" bestFit="1" customWidth="1"/>
    <col min="9992" max="9992" width="8.3984375" style="13" customWidth="1"/>
    <col min="9993" max="9993" width="14.296875" style="13" customWidth="1"/>
    <col min="9994" max="9994" width="15.8984375" style="13" bestFit="1" customWidth="1"/>
    <col min="9995" max="9996" width="7.5" style="13" bestFit="1" customWidth="1"/>
    <col min="9997" max="10240" width="8.19921875" style="13"/>
    <col min="10241" max="10241" width="56.3984375" style="13" customWidth="1"/>
    <col min="10242" max="10242" width="18" style="13" customWidth="1"/>
    <col min="10243" max="10243" width="15.8984375" style="13" customWidth="1"/>
    <col min="10244" max="10245" width="14.796875" style="13" bestFit="1" customWidth="1"/>
    <col min="10246" max="10246" width="18.296875" style="13" customWidth="1"/>
    <col min="10247" max="10247" width="13.09765625" style="13" bestFit="1" customWidth="1"/>
    <col min="10248" max="10248" width="8.3984375" style="13" customWidth="1"/>
    <col min="10249" max="10249" width="14.296875" style="13" customWidth="1"/>
    <col min="10250" max="10250" width="15.8984375" style="13" bestFit="1" customWidth="1"/>
    <col min="10251" max="10252" width="7.5" style="13" bestFit="1" customWidth="1"/>
    <col min="10253" max="10496" width="8.19921875" style="13"/>
    <col min="10497" max="10497" width="56.3984375" style="13" customWidth="1"/>
    <col min="10498" max="10498" width="18" style="13" customWidth="1"/>
    <col min="10499" max="10499" width="15.8984375" style="13" customWidth="1"/>
    <col min="10500" max="10501" width="14.796875" style="13" bestFit="1" customWidth="1"/>
    <col min="10502" max="10502" width="18.296875" style="13" customWidth="1"/>
    <col min="10503" max="10503" width="13.09765625" style="13" bestFit="1" customWidth="1"/>
    <col min="10504" max="10504" width="8.3984375" style="13" customWidth="1"/>
    <col min="10505" max="10505" width="14.296875" style="13" customWidth="1"/>
    <col min="10506" max="10506" width="15.8984375" style="13" bestFit="1" customWidth="1"/>
    <col min="10507" max="10508" width="7.5" style="13" bestFit="1" customWidth="1"/>
    <col min="10509" max="10752" width="8.19921875" style="13"/>
    <col min="10753" max="10753" width="56.3984375" style="13" customWidth="1"/>
    <col min="10754" max="10754" width="18" style="13" customWidth="1"/>
    <col min="10755" max="10755" width="15.8984375" style="13" customWidth="1"/>
    <col min="10756" max="10757" width="14.796875" style="13" bestFit="1" customWidth="1"/>
    <col min="10758" max="10758" width="18.296875" style="13" customWidth="1"/>
    <col min="10759" max="10759" width="13.09765625" style="13" bestFit="1" customWidth="1"/>
    <col min="10760" max="10760" width="8.3984375" style="13" customWidth="1"/>
    <col min="10761" max="10761" width="14.296875" style="13" customWidth="1"/>
    <col min="10762" max="10762" width="15.8984375" style="13" bestFit="1" customWidth="1"/>
    <col min="10763" max="10764" width="7.5" style="13" bestFit="1" customWidth="1"/>
    <col min="10765" max="11008" width="8.19921875" style="13"/>
    <col min="11009" max="11009" width="56.3984375" style="13" customWidth="1"/>
    <col min="11010" max="11010" width="18" style="13" customWidth="1"/>
    <col min="11011" max="11011" width="15.8984375" style="13" customWidth="1"/>
    <col min="11012" max="11013" width="14.796875" style="13" bestFit="1" customWidth="1"/>
    <col min="11014" max="11014" width="18.296875" style="13" customWidth="1"/>
    <col min="11015" max="11015" width="13.09765625" style="13" bestFit="1" customWidth="1"/>
    <col min="11016" max="11016" width="8.3984375" style="13" customWidth="1"/>
    <col min="11017" max="11017" width="14.296875" style="13" customWidth="1"/>
    <col min="11018" max="11018" width="15.8984375" style="13" bestFit="1" customWidth="1"/>
    <col min="11019" max="11020" width="7.5" style="13" bestFit="1" customWidth="1"/>
    <col min="11021" max="11264" width="8.19921875" style="13"/>
    <col min="11265" max="11265" width="56.3984375" style="13" customWidth="1"/>
    <col min="11266" max="11266" width="18" style="13" customWidth="1"/>
    <col min="11267" max="11267" width="15.8984375" style="13" customWidth="1"/>
    <col min="11268" max="11269" width="14.796875" style="13" bestFit="1" customWidth="1"/>
    <col min="11270" max="11270" width="18.296875" style="13" customWidth="1"/>
    <col min="11271" max="11271" width="13.09765625" style="13" bestFit="1" customWidth="1"/>
    <col min="11272" max="11272" width="8.3984375" style="13" customWidth="1"/>
    <col min="11273" max="11273" width="14.296875" style="13" customWidth="1"/>
    <col min="11274" max="11274" width="15.8984375" style="13" bestFit="1" customWidth="1"/>
    <col min="11275" max="11276" width="7.5" style="13" bestFit="1" customWidth="1"/>
    <col min="11277" max="11520" width="8.19921875" style="13"/>
    <col min="11521" max="11521" width="56.3984375" style="13" customWidth="1"/>
    <col min="11522" max="11522" width="18" style="13" customWidth="1"/>
    <col min="11523" max="11523" width="15.8984375" style="13" customWidth="1"/>
    <col min="11524" max="11525" width="14.796875" style="13" bestFit="1" customWidth="1"/>
    <col min="11526" max="11526" width="18.296875" style="13" customWidth="1"/>
    <col min="11527" max="11527" width="13.09765625" style="13" bestFit="1" customWidth="1"/>
    <col min="11528" max="11528" width="8.3984375" style="13" customWidth="1"/>
    <col min="11529" max="11529" width="14.296875" style="13" customWidth="1"/>
    <col min="11530" max="11530" width="15.8984375" style="13" bestFit="1" customWidth="1"/>
    <col min="11531" max="11532" width="7.5" style="13" bestFit="1" customWidth="1"/>
    <col min="11533" max="11776" width="8.19921875" style="13"/>
    <col min="11777" max="11777" width="56.3984375" style="13" customWidth="1"/>
    <col min="11778" max="11778" width="18" style="13" customWidth="1"/>
    <col min="11779" max="11779" width="15.8984375" style="13" customWidth="1"/>
    <col min="11780" max="11781" width="14.796875" style="13" bestFit="1" customWidth="1"/>
    <col min="11782" max="11782" width="18.296875" style="13" customWidth="1"/>
    <col min="11783" max="11783" width="13.09765625" style="13" bestFit="1" customWidth="1"/>
    <col min="11784" max="11784" width="8.3984375" style="13" customWidth="1"/>
    <col min="11785" max="11785" width="14.296875" style="13" customWidth="1"/>
    <col min="11786" max="11786" width="15.8984375" style="13" bestFit="1" customWidth="1"/>
    <col min="11787" max="11788" width="7.5" style="13" bestFit="1" customWidth="1"/>
    <col min="11789" max="12032" width="8.19921875" style="13"/>
    <col min="12033" max="12033" width="56.3984375" style="13" customWidth="1"/>
    <col min="12034" max="12034" width="18" style="13" customWidth="1"/>
    <col min="12035" max="12035" width="15.8984375" style="13" customWidth="1"/>
    <col min="12036" max="12037" width="14.796875" style="13" bestFit="1" customWidth="1"/>
    <col min="12038" max="12038" width="18.296875" style="13" customWidth="1"/>
    <col min="12039" max="12039" width="13.09765625" style="13" bestFit="1" customWidth="1"/>
    <col min="12040" max="12040" width="8.3984375" style="13" customWidth="1"/>
    <col min="12041" max="12041" width="14.296875" style="13" customWidth="1"/>
    <col min="12042" max="12042" width="15.8984375" style="13" bestFit="1" customWidth="1"/>
    <col min="12043" max="12044" width="7.5" style="13" bestFit="1" customWidth="1"/>
    <col min="12045" max="12288" width="8.19921875" style="13"/>
    <col min="12289" max="12289" width="56.3984375" style="13" customWidth="1"/>
    <col min="12290" max="12290" width="18" style="13" customWidth="1"/>
    <col min="12291" max="12291" width="15.8984375" style="13" customWidth="1"/>
    <col min="12292" max="12293" width="14.796875" style="13" bestFit="1" customWidth="1"/>
    <col min="12294" max="12294" width="18.296875" style="13" customWidth="1"/>
    <col min="12295" max="12295" width="13.09765625" style="13" bestFit="1" customWidth="1"/>
    <col min="12296" max="12296" width="8.3984375" style="13" customWidth="1"/>
    <col min="12297" max="12297" width="14.296875" style="13" customWidth="1"/>
    <col min="12298" max="12298" width="15.8984375" style="13" bestFit="1" customWidth="1"/>
    <col min="12299" max="12300" width="7.5" style="13" bestFit="1" customWidth="1"/>
    <col min="12301" max="12544" width="8.19921875" style="13"/>
    <col min="12545" max="12545" width="56.3984375" style="13" customWidth="1"/>
    <col min="12546" max="12546" width="18" style="13" customWidth="1"/>
    <col min="12547" max="12547" width="15.8984375" style="13" customWidth="1"/>
    <col min="12548" max="12549" width="14.796875" style="13" bestFit="1" customWidth="1"/>
    <col min="12550" max="12550" width="18.296875" style="13" customWidth="1"/>
    <col min="12551" max="12551" width="13.09765625" style="13" bestFit="1" customWidth="1"/>
    <col min="12552" max="12552" width="8.3984375" style="13" customWidth="1"/>
    <col min="12553" max="12553" width="14.296875" style="13" customWidth="1"/>
    <col min="12554" max="12554" width="15.8984375" style="13" bestFit="1" customWidth="1"/>
    <col min="12555" max="12556" width="7.5" style="13" bestFit="1" customWidth="1"/>
    <col min="12557" max="12800" width="8.19921875" style="13"/>
    <col min="12801" max="12801" width="56.3984375" style="13" customWidth="1"/>
    <col min="12802" max="12802" width="18" style="13" customWidth="1"/>
    <col min="12803" max="12803" width="15.8984375" style="13" customWidth="1"/>
    <col min="12804" max="12805" width="14.796875" style="13" bestFit="1" customWidth="1"/>
    <col min="12806" max="12806" width="18.296875" style="13" customWidth="1"/>
    <col min="12807" max="12807" width="13.09765625" style="13" bestFit="1" customWidth="1"/>
    <col min="12808" max="12808" width="8.3984375" style="13" customWidth="1"/>
    <col min="12809" max="12809" width="14.296875" style="13" customWidth="1"/>
    <col min="12810" max="12810" width="15.8984375" style="13" bestFit="1" customWidth="1"/>
    <col min="12811" max="12812" width="7.5" style="13" bestFit="1" customWidth="1"/>
    <col min="12813" max="13056" width="8.19921875" style="13"/>
    <col min="13057" max="13057" width="56.3984375" style="13" customWidth="1"/>
    <col min="13058" max="13058" width="18" style="13" customWidth="1"/>
    <col min="13059" max="13059" width="15.8984375" style="13" customWidth="1"/>
    <col min="13060" max="13061" width="14.796875" style="13" bestFit="1" customWidth="1"/>
    <col min="13062" max="13062" width="18.296875" style="13" customWidth="1"/>
    <col min="13063" max="13063" width="13.09765625" style="13" bestFit="1" customWidth="1"/>
    <col min="13064" max="13064" width="8.3984375" style="13" customWidth="1"/>
    <col min="13065" max="13065" width="14.296875" style="13" customWidth="1"/>
    <col min="13066" max="13066" width="15.8984375" style="13" bestFit="1" customWidth="1"/>
    <col min="13067" max="13068" width="7.5" style="13" bestFit="1" customWidth="1"/>
    <col min="13069" max="13312" width="8.19921875" style="13"/>
    <col min="13313" max="13313" width="56.3984375" style="13" customWidth="1"/>
    <col min="13314" max="13314" width="18" style="13" customWidth="1"/>
    <col min="13315" max="13315" width="15.8984375" style="13" customWidth="1"/>
    <col min="13316" max="13317" width="14.796875" style="13" bestFit="1" customWidth="1"/>
    <col min="13318" max="13318" width="18.296875" style="13" customWidth="1"/>
    <col min="13319" max="13319" width="13.09765625" style="13" bestFit="1" customWidth="1"/>
    <col min="13320" max="13320" width="8.3984375" style="13" customWidth="1"/>
    <col min="13321" max="13321" width="14.296875" style="13" customWidth="1"/>
    <col min="13322" max="13322" width="15.8984375" style="13" bestFit="1" customWidth="1"/>
    <col min="13323" max="13324" width="7.5" style="13" bestFit="1" customWidth="1"/>
    <col min="13325" max="13568" width="8.19921875" style="13"/>
    <col min="13569" max="13569" width="56.3984375" style="13" customWidth="1"/>
    <col min="13570" max="13570" width="18" style="13" customWidth="1"/>
    <col min="13571" max="13571" width="15.8984375" style="13" customWidth="1"/>
    <col min="13572" max="13573" width="14.796875" style="13" bestFit="1" customWidth="1"/>
    <col min="13574" max="13574" width="18.296875" style="13" customWidth="1"/>
    <col min="13575" max="13575" width="13.09765625" style="13" bestFit="1" customWidth="1"/>
    <col min="13576" max="13576" width="8.3984375" style="13" customWidth="1"/>
    <col min="13577" max="13577" width="14.296875" style="13" customWidth="1"/>
    <col min="13578" max="13578" width="15.8984375" style="13" bestFit="1" customWidth="1"/>
    <col min="13579" max="13580" width="7.5" style="13" bestFit="1" customWidth="1"/>
    <col min="13581" max="13824" width="8.19921875" style="13"/>
    <col min="13825" max="13825" width="56.3984375" style="13" customWidth="1"/>
    <col min="13826" max="13826" width="18" style="13" customWidth="1"/>
    <col min="13827" max="13827" width="15.8984375" style="13" customWidth="1"/>
    <col min="13828" max="13829" width="14.796875" style="13" bestFit="1" customWidth="1"/>
    <col min="13830" max="13830" width="18.296875" style="13" customWidth="1"/>
    <col min="13831" max="13831" width="13.09765625" style="13" bestFit="1" customWidth="1"/>
    <col min="13832" max="13832" width="8.3984375" style="13" customWidth="1"/>
    <col min="13833" max="13833" width="14.296875" style="13" customWidth="1"/>
    <col min="13834" max="13834" width="15.8984375" style="13" bestFit="1" customWidth="1"/>
    <col min="13835" max="13836" width="7.5" style="13" bestFit="1" customWidth="1"/>
    <col min="13837" max="14080" width="8.19921875" style="13"/>
    <col min="14081" max="14081" width="56.3984375" style="13" customWidth="1"/>
    <col min="14082" max="14082" width="18" style="13" customWidth="1"/>
    <col min="14083" max="14083" width="15.8984375" style="13" customWidth="1"/>
    <col min="14084" max="14085" width="14.796875" style="13" bestFit="1" customWidth="1"/>
    <col min="14086" max="14086" width="18.296875" style="13" customWidth="1"/>
    <col min="14087" max="14087" width="13.09765625" style="13" bestFit="1" customWidth="1"/>
    <col min="14088" max="14088" width="8.3984375" style="13" customWidth="1"/>
    <col min="14089" max="14089" width="14.296875" style="13" customWidth="1"/>
    <col min="14090" max="14090" width="15.8984375" style="13" bestFit="1" customWidth="1"/>
    <col min="14091" max="14092" width="7.5" style="13" bestFit="1" customWidth="1"/>
    <col min="14093" max="14336" width="8.19921875" style="13"/>
    <col min="14337" max="14337" width="56.3984375" style="13" customWidth="1"/>
    <col min="14338" max="14338" width="18" style="13" customWidth="1"/>
    <col min="14339" max="14339" width="15.8984375" style="13" customWidth="1"/>
    <col min="14340" max="14341" width="14.796875" style="13" bestFit="1" customWidth="1"/>
    <col min="14342" max="14342" width="18.296875" style="13" customWidth="1"/>
    <col min="14343" max="14343" width="13.09765625" style="13" bestFit="1" customWidth="1"/>
    <col min="14344" max="14344" width="8.3984375" style="13" customWidth="1"/>
    <col min="14345" max="14345" width="14.296875" style="13" customWidth="1"/>
    <col min="14346" max="14346" width="15.8984375" style="13" bestFit="1" customWidth="1"/>
    <col min="14347" max="14348" width="7.5" style="13" bestFit="1" customWidth="1"/>
    <col min="14349" max="14592" width="8.19921875" style="13"/>
    <col min="14593" max="14593" width="56.3984375" style="13" customWidth="1"/>
    <col min="14594" max="14594" width="18" style="13" customWidth="1"/>
    <col min="14595" max="14595" width="15.8984375" style="13" customWidth="1"/>
    <col min="14596" max="14597" width="14.796875" style="13" bestFit="1" customWidth="1"/>
    <col min="14598" max="14598" width="18.296875" style="13" customWidth="1"/>
    <col min="14599" max="14599" width="13.09765625" style="13" bestFit="1" customWidth="1"/>
    <col min="14600" max="14600" width="8.3984375" style="13" customWidth="1"/>
    <col min="14601" max="14601" width="14.296875" style="13" customWidth="1"/>
    <col min="14602" max="14602" width="15.8984375" style="13" bestFit="1" customWidth="1"/>
    <col min="14603" max="14604" width="7.5" style="13" bestFit="1" customWidth="1"/>
    <col min="14605" max="14848" width="8.19921875" style="13"/>
    <col min="14849" max="14849" width="56.3984375" style="13" customWidth="1"/>
    <col min="14850" max="14850" width="18" style="13" customWidth="1"/>
    <col min="14851" max="14851" width="15.8984375" style="13" customWidth="1"/>
    <col min="14852" max="14853" width="14.796875" style="13" bestFit="1" customWidth="1"/>
    <col min="14854" max="14854" width="18.296875" style="13" customWidth="1"/>
    <col min="14855" max="14855" width="13.09765625" style="13" bestFit="1" customWidth="1"/>
    <col min="14856" max="14856" width="8.3984375" style="13" customWidth="1"/>
    <col min="14857" max="14857" width="14.296875" style="13" customWidth="1"/>
    <col min="14858" max="14858" width="15.8984375" style="13" bestFit="1" customWidth="1"/>
    <col min="14859" max="14860" width="7.5" style="13" bestFit="1" customWidth="1"/>
    <col min="14861" max="15104" width="8.19921875" style="13"/>
    <col min="15105" max="15105" width="56.3984375" style="13" customWidth="1"/>
    <col min="15106" max="15106" width="18" style="13" customWidth="1"/>
    <col min="15107" max="15107" width="15.8984375" style="13" customWidth="1"/>
    <col min="15108" max="15109" width="14.796875" style="13" bestFit="1" customWidth="1"/>
    <col min="15110" max="15110" width="18.296875" style="13" customWidth="1"/>
    <col min="15111" max="15111" width="13.09765625" style="13" bestFit="1" customWidth="1"/>
    <col min="15112" max="15112" width="8.3984375" style="13" customWidth="1"/>
    <col min="15113" max="15113" width="14.296875" style="13" customWidth="1"/>
    <col min="15114" max="15114" width="15.8984375" style="13" bestFit="1" customWidth="1"/>
    <col min="15115" max="15116" width="7.5" style="13" bestFit="1" customWidth="1"/>
    <col min="15117" max="15360" width="8.19921875" style="13"/>
    <col min="15361" max="15361" width="56.3984375" style="13" customWidth="1"/>
    <col min="15362" max="15362" width="18" style="13" customWidth="1"/>
    <col min="15363" max="15363" width="15.8984375" style="13" customWidth="1"/>
    <col min="15364" max="15365" width="14.796875" style="13" bestFit="1" customWidth="1"/>
    <col min="15366" max="15366" width="18.296875" style="13" customWidth="1"/>
    <col min="15367" max="15367" width="13.09765625" style="13" bestFit="1" customWidth="1"/>
    <col min="15368" max="15368" width="8.3984375" style="13" customWidth="1"/>
    <col min="15369" max="15369" width="14.296875" style="13" customWidth="1"/>
    <col min="15370" max="15370" width="15.8984375" style="13" bestFit="1" customWidth="1"/>
    <col min="15371" max="15372" width="7.5" style="13" bestFit="1" customWidth="1"/>
    <col min="15373" max="15616" width="8.19921875" style="13"/>
    <col min="15617" max="15617" width="56.3984375" style="13" customWidth="1"/>
    <col min="15618" max="15618" width="18" style="13" customWidth="1"/>
    <col min="15619" max="15619" width="15.8984375" style="13" customWidth="1"/>
    <col min="15620" max="15621" width="14.796875" style="13" bestFit="1" customWidth="1"/>
    <col min="15622" max="15622" width="18.296875" style="13" customWidth="1"/>
    <col min="15623" max="15623" width="13.09765625" style="13" bestFit="1" customWidth="1"/>
    <col min="15624" max="15624" width="8.3984375" style="13" customWidth="1"/>
    <col min="15625" max="15625" width="14.296875" style="13" customWidth="1"/>
    <col min="15626" max="15626" width="15.8984375" style="13" bestFit="1" customWidth="1"/>
    <col min="15627" max="15628" width="7.5" style="13" bestFit="1" customWidth="1"/>
    <col min="15629" max="15872" width="8.19921875" style="13"/>
    <col min="15873" max="15873" width="56.3984375" style="13" customWidth="1"/>
    <col min="15874" max="15874" width="18" style="13" customWidth="1"/>
    <col min="15875" max="15875" width="15.8984375" style="13" customWidth="1"/>
    <col min="15876" max="15877" width="14.796875" style="13" bestFit="1" customWidth="1"/>
    <col min="15878" max="15878" width="18.296875" style="13" customWidth="1"/>
    <col min="15879" max="15879" width="13.09765625" style="13" bestFit="1" customWidth="1"/>
    <col min="15880" max="15880" width="8.3984375" style="13" customWidth="1"/>
    <col min="15881" max="15881" width="14.296875" style="13" customWidth="1"/>
    <col min="15882" max="15882" width="15.8984375" style="13" bestFit="1" customWidth="1"/>
    <col min="15883" max="15884" width="7.5" style="13" bestFit="1" customWidth="1"/>
    <col min="15885" max="16128" width="8.19921875" style="13"/>
    <col min="16129" max="16129" width="56.3984375" style="13" customWidth="1"/>
    <col min="16130" max="16130" width="18" style="13" customWidth="1"/>
    <col min="16131" max="16131" width="15.8984375" style="13" customWidth="1"/>
    <col min="16132" max="16133" width="14.796875" style="13" bestFit="1" customWidth="1"/>
    <col min="16134" max="16134" width="18.296875" style="13" customWidth="1"/>
    <col min="16135" max="16135" width="13.09765625" style="13" bestFit="1" customWidth="1"/>
    <col min="16136" max="16136" width="8.3984375" style="13" customWidth="1"/>
    <col min="16137" max="16137" width="14.296875" style="13" customWidth="1"/>
    <col min="16138" max="16138" width="15.8984375" style="13" bestFit="1" customWidth="1"/>
    <col min="16139" max="16140" width="7.5" style="13" bestFit="1" customWidth="1"/>
    <col min="16141" max="16384" width="8.19921875" style="13"/>
  </cols>
  <sheetData>
    <row r="1" spans="1:13" s="3" customFormat="1" ht="21" customHeight="1" x14ac:dyDescent="0.45">
      <c r="A1" s="563" t="s">
        <v>6</v>
      </c>
      <c r="B1" s="563"/>
      <c r="C1" s="563"/>
      <c r="D1" s="563"/>
      <c r="E1" s="563"/>
      <c r="F1" s="563"/>
      <c r="G1" s="563"/>
      <c r="H1" s="563"/>
      <c r="I1" s="563"/>
    </row>
    <row r="2" spans="1:13" s="3" customFormat="1" ht="21" customHeight="1" x14ac:dyDescent="0.45">
      <c r="A2" s="563" t="s">
        <v>0</v>
      </c>
      <c r="B2" s="563"/>
      <c r="C2" s="563"/>
      <c r="D2" s="563"/>
      <c r="E2" s="563"/>
      <c r="F2" s="563"/>
      <c r="G2" s="563"/>
      <c r="H2" s="563"/>
      <c r="I2" s="563"/>
    </row>
    <row r="3" spans="1:13" s="3" customFormat="1" ht="21" customHeight="1" x14ac:dyDescent="0.45">
      <c r="A3" s="563" t="s">
        <v>39</v>
      </c>
      <c r="B3" s="563"/>
      <c r="C3" s="563"/>
      <c r="D3" s="563"/>
      <c r="E3" s="563"/>
      <c r="F3" s="563"/>
      <c r="G3" s="563"/>
      <c r="H3" s="563"/>
      <c r="I3" s="563"/>
    </row>
    <row r="4" spans="1:13" s="3" customFormat="1" ht="21" customHeight="1" x14ac:dyDescent="0.45">
      <c r="A4" s="108" t="s">
        <v>121</v>
      </c>
      <c r="G4" s="109"/>
    </row>
    <row r="5" spans="1:13" s="25" customFormat="1" ht="21" customHeight="1" x14ac:dyDescent="0.4">
      <c r="A5" s="110"/>
      <c r="G5" s="111"/>
      <c r="I5" s="112" t="s">
        <v>42</v>
      </c>
    </row>
    <row r="6" spans="1:13" s="113" customFormat="1" ht="21" customHeight="1" x14ac:dyDescent="0.4">
      <c r="A6" s="564" t="s">
        <v>122</v>
      </c>
      <c r="B6" s="564" t="s">
        <v>2</v>
      </c>
      <c r="C6" s="564" t="s">
        <v>3</v>
      </c>
      <c r="D6" s="564" t="s">
        <v>4</v>
      </c>
      <c r="E6" s="564" t="s">
        <v>92</v>
      </c>
      <c r="F6" s="564" t="s">
        <v>93</v>
      </c>
      <c r="G6" s="566" t="s">
        <v>94</v>
      </c>
      <c r="H6" s="564" t="s">
        <v>95</v>
      </c>
      <c r="I6" s="564" t="s">
        <v>96</v>
      </c>
    </row>
    <row r="7" spans="1:13" s="25" customFormat="1" ht="21" customHeight="1" x14ac:dyDescent="0.4">
      <c r="A7" s="565"/>
      <c r="B7" s="565"/>
      <c r="C7" s="565"/>
      <c r="D7" s="565"/>
      <c r="E7" s="565"/>
      <c r="F7" s="565"/>
      <c r="G7" s="565"/>
      <c r="H7" s="565"/>
      <c r="I7" s="565"/>
    </row>
    <row r="8" spans="1:13" s="25" customFormat="1" ht="21" customHeight="1" x14ac:dyDescent="0.4">
      <c r="A8" s="106" t="s">
        <v>301</v>
      </c>
      <c r="B8" s="114">
        <f>2548604910.44*0.49/100</f>
        <v>12488164.061156001</v>
      </c>
      <c r="C8" s="114">
        <f>5263197.2*0.49/100</f>
        <v>25789.666280000001</v>
      </c>
      <c r="D8" s="114">
        <f>97396995.42*0.49/100</f>
        <v>477245.277558</v>
      </c>
      <c r="E8" s="114">
        <f>297148778.59*0.49/100</f>
        <v>1456029.0150909999</v>
      </c>
      <c r="F8" s="114">
        <f>SUM(B8:E8)</f>
        <v>14447228.020085001</v>
      </c>
      <c r="G8" s="115">
        <v>600</v>
      </c>
      <c r="H8" s="116" t="s">
        <v>100</v>
      </c>
      <c r="I8" s="117">
        <f t="shared" ref="I8:I36" si="0">+F8/G8</f>
        <v>24078.713366808337</v>
      </c>
    </row>
    <row r="9" spans="1:13" s="25" customFormat="1" ht="21" customHeight="1" x14ac:dyDescent="0.4">
      <c r="A9" s="72" t="s">
        <v>300</v>
      </c>
      <c r="B9" s="114">
        <f>2548604910.44*0.16/100</f>
        <v>4077767.8567040004</v>
      </c>
      <c r="C9" s="114">
        <f>5263197.2*0.16/100</f>
        <v>8421.1155199999994</v>
      </c>
      <c r="D9" s="114">
        <f>97396995.42*0.16/100</f>
        <v>155835.192672</v>
      </c>
      <c r="E9" s="114">
        <f>297148778.59*0.16/100</f>
        <v>475438.045744</v>
      </c>
      <c r="F9" s="114">
        <f t="shared" ref="F9:F36" si="1">SUM(B9:E9)</f>
        <v>4717462.2106400002</v>
      </c>
      <c r="G9" s="118">
        <v>200</v>
      </c>
      <c r="H9" s="119" t="s">
        <v>100</v>
      </c>
      <c r="I9" s="117">
        <f t="shared" si="0"/>
        <v>23587.311053199999</v>
      </c>
    </row>
    <row r="10" spans="1:13" s="25" customFormat="1" ht="21" customHeight="1" x14ac:dyDescent="0.4">
      <c r="A10" s="106" t="s">
        <v>198</v>
      </c>
      <c r="B10" s="114">
        <f>2548604910.44*15.45/100</f>
        <v>393759458.66297996</v>
      </c>
      <c r="C10" s="114">
        <f>5263197.2*15.45/100</f>
        <v>813163.96739999996</v>
      </c>
      <c r="D10" s="114">
        <f>97396995.42*15.45/100</f>
        <v>15047835.792389998</v>
      </c>
      <c r="E10" s="114">
        <f>297148778.59*15.45/100</f>
        <v>45909486.29215499</v>
      </c>
      <c r="F10" s="114">
        <f t="shared" si="1"/>
        <v>455529944.71492493</v>
      </c>
      <c r="G10" s="115">
        <v>103461</v>
      </c>
      <c r="H10" s="116" t="s">
        <v>100</v>
      </c>
      <c r="I10" s="117">
        <f t="shared" si="0"/>
        <v>4402.9145737517028</v>
      </c>
    </row>
    <row r="11" spans="1:13" s="25" customFormat="1" ht="21" customHeight="1" x14ac:dyDescent="0.4">
      <c r="A11" s="106" t="s">
        <v>199</v>
      </c>
      <c r="B11" s="114">
        <f>2548604910.44*1.92/100</f>
        <v>48933214.280447997</v>
      </c>
      <c r="C11" s="114">
        <f>5263197.2*1.92/100</f>
        <v>101053.38623999999</v>
      </c>
      <c r="D11" s="114">
        <f>97396995.42*1.92/100</f>
        <v>1870022.3120640002</v>
      </c>
      <c r="E11" s="114">
        <f>297148778.59*1.92/100</f>
        <v>5705256.548928</v>
      </c>
      <c r="F11" s="114">
        <f t="shared" si="1"/>
        <v>56609546.527679995</v>
      </c>
      <c r="G11" s="120">
        <v>14136</v>
      </c>
      <c r="H11" s="116" t="s">
        <v>100</v>
      </c>
      <c r="I11" s="117">
        <f t="shared" si="0"/>
        <v>4004.6368511375208</v>
      </c>
    </row>
    <row r="12" spans="1:13" ht="21" customHeight="1" x14ac:dyDescent="0.4">
      <c r="A12" s="106" t="s">
        <v>200</v>
      </c>
      <c r="B12" s="114">
        <f>2548604910.44*6.24/100</f>
        <v>159032946.41145602</v>
      </c>
      <c r="C12" s="114">
        <f>5263197.2*6.24/100</f>
        <v>328423.50527999998</v>
      </c>
      <c r="D12" s="114">
        <f>97396995.42*6.24/100</f>
        <v>6077572.5142080011</v>
      </c>
      <c r="E12" s="114">
        <f>297148778.59*6.24/100</f>
        <v>18542083.784015998</v>
      </c>
      <c r="F12" s="114">
        <f t="shared" si="1"/>
        <v>183981026.21495998</v>
      </c>
      <c r="G12" s="120">
        <v>10939</v>
      </c>
      <c r="H12" s="116" t="s">
        <v>100</v>
      </c>
      <c r="I12" s="117">
        <f t="shared" si="0"/>
        <v>16818.815816341528</v>
      </c>
      <c r="M12" s="25"/>
    </row>
    <row r="13" spans="1:13" ht="22.8" customHeight="1" x14ac:dyDescent="0.4">
      <c r="A13" s="147" t="s">
        <v>201</v>
      </c>
      <c r="B13" s="130">
        <f>2548604910.44*0.03/100</f>
        <v>764581.47313199996</v>
      </c>
      <c r="C13" s="130">
        <f>5263197.2*0.03/100</f>
        <v>1578.9591599999999</v>
      </c>
      <c r="D13" s="130">
        <f>97396995.42*0.03/100</f>
        <v>29219.098626000003</v>
      </c>
      <c r="E13" s="130">
        <f>297148778.59*0.03/100</f>
        <v>89144.633577000001</v>
      </c>
      <c r="F13" s="130">
        <f t="shared" si="1"/>
        <v>884524.16449499992</v>
      </c>
      <c r="G13" s="134">
        <v>60</v>
      </c>
      <c r="H13" s="135" t="s">
        <v>101</v>
      </c>
      <c r="I13" s="136">
        <f t="shared" si="0"/>
        <v>14742.069408249999</v>
      </c>
      <c r="M13" s="25"/>
    </row>
    <row r="14" spans="1:13" ht="15.6" customHeight="1" x14ac:dyDescent="0.4">
      <c r="A14" s="146" t="s">
        <v>113</v>
      </c>
      <c r="B14" s="129"/>
      <c r="C14" s="129"/>
      <c r="D14" s="129"/>
      <c r="E14" s="129"/>
      <c r="F14" s="129">
        <f t="shared" si="1"/>
        <v>0</v>
      </c>
      <c r="G14" s="131"/>
      <c r="H14" s="132"/>
      <c r="I14" s="133"/>
      <c r="M14" s="25"/>
    </row>
    <row r="15" spans="1:13" ht="22.2" customHeight="1" x14ac:dyDescent="0.4">
      <c r="A15" s="145" t="s">
        <v>302</v>
      </c>
      <c r="B15" s="114">
        <f>2548604910.44*0.25/100</f>
        <v>6371512.2761000004</v>
      </c>
      <c r="C15" s="114">
        <f>5263197.2*0.25/100</f>
        <v>13157.993</v>
      </c>
      <c r="D15" s="114">
        <f>97396995.42*0.25/100</f>
        <v>243492.48855000001</v>
      </c>
      <c r="E15" s="114">
        <f>297148778.59*0.25/100</f>
        <v>742871.94647499989</v>
      </c>
      <c r="F15" s="114">
        <f t="shared" si="1"/>
        <v>7371034.7041250002</v>
      </c>
      <c r="G15" s="120">
        <v>10</v>
      </c>
      <c r="H15" s="116" t="s">
        <v>102</v>
      </c>
      <c r="I15" s="117">
        <f t="shared" si="0"/>
        <v>737103.47041249997</v>
      </c>
    </row>
    <row r="16" spans="1:13" s="27" customFormat="1" ht="21" customHeight="1" x14ac:dyDescent="0.4">
      <c r="A16" s="72" t="s">
        <v>202</v>
      </c>
      <c r="B16" s="114">
        <f>2548604910.44*2.46/100</f>
        <v>62695680.796824001</v>
      </c>
      <c r="C16" s="114">
        <f>5263197.2*2.46/100</f>
        <v>129474.65111999999</v>
      </c>
      <c r="D16" s="114">
        <f>97396995.42*2.46/100</f>
        <v>2395966.087332</v>
      </c>
      <c r="E16" s="114">
        <f>297148778.59*2.46/100</f>
        <v>7309859.9533139989</v>
      </c>
      <c r="F16" s="114">
        <f t="shared" si="1"/>
        <v>72530981.488590002</v>
      </c>
      <c r="G16" s="120">
        <v>12479</v>
      </c>
      <c r="H16" s="116" t="s">
        <v>100</v>
      </c>
      <c r="I16" s="117">
        <f t="shared" si="0"/>
        <v>5812.2430874741567</v>
      </c>
      <c r="J16" s="13"/>
      <c r="K16" s="13"/>
      <c r="L16" s="13"/>
      <c r="M16" s="13"/>
    </row>
    <row r="17" spans="1:13" s="27" customFormat="1" ht="21" customHeight="1" x14ac:dyDescent="0.4">
      <c r="A17" s="106" t="s">
        <v>203</v>
      </c>
      <c r="B17" s="114">
        <f>2548604910.44*1.82/100</f>
        <v>46384609.370007999</v>
      </c>
      <c r="C17" s="114">
        <f>5263197.2*1.82/100</f>
        <v>95790.189040000012</v>
      </c>
      <c r="D17" s="114">
        <f>97396995.42*1.82/100</f>
        <v>1772625.3166440001</v>
      </c>
      <c r="E17" s="114">
        <f>297148778.59*1.82/100</f>
        <v>5408107.7703379998</v>
      </c>
      <c r="F17" s="114">
        <f t="shared" si="1"/>
        <v>53661132.646029994</v>
      </c>
      <c r="G17" s="120">
        <v>11869</v>
      </c>
      <c r="H17" s="116" t="s">
        <v>100</v>
      </c>
      <c r="I17" s="117">
        <f t="shared" si="0"/>
        <v>4521.1165764622119</v>
      </c>
      <c r="J17" s="13"/>
      <c r="K17" s="13"/>
      <c r="L17" s="13"/>
      <c r="M17" s="13"/>
    </row>
    <row r="18" spans="1:13" s="27" customFormat="1" ht="22.2" customHeight="1" x14ac:dyDescent="0.4">
      <c r="A18" s="106" t="s">
        <v>303</v>
      </c>
      <c r="B18" s="114">
        <f>2548604910.44*0.05/100</f>
        <v>1274302.4552200001</v>
      </c>
      <c r="C18" s="114">
        <f>5263197.2*0.05/100</f>
        <v>2631.5986000000003</v>
      </c>
      <c r="D18" s="114">
        <f>97396995.42*0.05/100</f>
        <v>48698.497710000003</v>
      </c>
      <c r="E18" s="114">
        <f>297148778.59*0.05/100</f>
        <v>148574.389295</v>
      </c>
      <c r="F18" s="114">
        <f t="shared" si="1"/>
        <v>1474206.9408249999</v>
      </c>
      <c r="G18" s="120">
        <v>3</v>
      </c>
      <c r="H18" s="116" t="s">
        <v>104</v>
      </c>
      <c r="I18" s="117">
        <f t="shared" si="0"/>
        <v>491402.31360833329</v>
      </c>
      <c r="J18" s="13"/>
      <c r="K18" s="13"/>
      <c r="L18" s="13"/>
      <c r="M18" s="13"/>
    </row>
    <row r="19" spans="1:13" s="27" customFormat="1" ht="37.200000000000003" customHeight="1" x14ac:dyDescent="0.4">
      <c r="A19" s="149" t="s">
        <v>304</v>
      </c>
      <c r="B19" s="114">
        <f>2548604910.44*0.35/100</f>
        <v>8920117.1865400001</v>
      </c>
      <c r="C19" s="114">
        <f>5263197.2*0.35/100</f>
        <v>18421.190200000001</v>
      </c>
      <c r="D19" s="114">
        <f>97396995.42*0.35/100</f>
        <v>340889.48397</v>
      </c>
      <c r="E19" s="114">
        <f>297148778.59*0.35/100</f>
        <v>1040020.7250649999</v>
      </c>
      <c r="F19" s="114">
        <f t="shared" si="1"/>
        <v>10319448.585774999</v>
      </c>
      <c r="G19" s="170">
        <v>25924</v>
      </c>
      <c r="H19" s="171" t="s">
        <v>100</v>
      </c>
      <c r="I19" s="169">
        <f t="shared" si="0"/>
        <v>398.06544459863443</v>
      </c>
      <c r="J19" s="13"/>
      <c r="K19" s="13"/>
      <c r="L19" s="13"/>
      <c r="M19" s="13"/>
    </row>
    <row r="20" spans="1:13" s="27" customFormat="1" ht="21" customHeight="1" x14ac:dyDescent="0.4">
      <c r="A20" s="106" t="s">
        <v>298</v>
      </c>
      <c r="B20" s="114">
        <f>2548604910.44*0.54/100</f>
        <v>13762466.516376002</v>
      </c>
      <c r="C20" s="114">
        <f>5263197.2*0.54/100</f>
        <v>28421.264880000002</v>
      </c>
      <c r="D20" s="114">
        <f>97396995.42*0.54/100</f>
        <v>525943.77526800008</v>
      </c>
      <c r="E20" s="114">
        <f>297148778.59*0.54/100</f>
        <v>1604603.404386</v>
      </c>
      <c r="F20" s="114">
        <f t="shared" si="1"/>
        <v>15921434.960910002</v>
      </c>
      <c r="G20" s="120">
        <v>4063</v>
      </c>
      <c r="H20" s="116" t="s">
        <v>100</v>
      </c>
      <c r="I20" s="117">
        <f t="shared" si="0"/>
        <v>3918.6401577430474</v>
      </c>
      <c r="J20" s="13"/>
      <c r="K20" s="13"/>
      <c r="L20" s="13"/>
      <c r="M20" s="13"/>
    </row>
    <row r="21" spans="1:13" s="27" customFormat="1" ht="21" customHeight="1" x14ac:dyDescent="0.4">
      <c r="A21" s="106" t="s">
        <v>205</v>
      </c>
      <c r="B21" s="114">
        <f>2548604910.44*8.02/100</f>
        <v>204398113.81728798</v>
      </c>
      <c r="C21" s="114">
        <f>5263197.2*8.02/100</f>
        <v>422108.41544000001</v>
      </c>
      <c r="D21" s="114">
        <f>97396995.42*8.02/100</f>
        <v>7811239.0326839993</v>
      </c>
      <c r="E21" s="114">
        <f>297148778.59*8.02/100</f>
        <v>23831332.042917997</v>
      </c>
      <c r="F21" s="114">
        <f t="shared" si="1"/>
        <v>236462793.30832997</v>
      </c>
      <c r="G21" s="120">
        <v>36832</v>
      </c>
      <c r="H21" s="116" t="s">
        <v>100</v>
      </c>
      <c r="I21" s="117">
        <f t="shared" si="0"/>
        <v>6420.0367427326773</v>
      </c>
      <c r="J21" s="13"/>
      <c r="K21" s="13"/>
      <c r="L21" s="13"/>
      <c r="M21" s="13"/>
    </row>
    <row r="22" spans="1:13" s="27" customFormat="1" ht="21" customHeight="1" x14ac:dyDescent="0.4">
      <c r="A22" s="72" t="s">
        <v>206</v>
      </c>
      <c r="B22" s="114">
        <f>2548604910.44*0.13/100</f>
        <v>3313186.3835720001</v>
      </c>
      <c r="C22" s="114">
        <f>5263197.2*0.13/100</f>
        <v>6842.1563600000009</v>
      </c>
      <c r="D22" s="114">
        <f>97396995.42*0.13/100</f>
        <v>126616.094046</v>
      </c>
      <c r="E22" s="114">
        <f>297148778.59*0.13/100</f>
        <v>386293.41216699994</v>
      </c>
      <c r="F22" s="114">
        <f t="shared" si="1"/>
        <v>3832938.046145</v>
      </c>
      <c r="G22" s="120">
        <v>129</v>
      </c>
      <c r="H22" s="116" t="s">
        <v>99</v>
      </c>
      <c r="I22" s="117">
        <f t="shared" si="0"/>
        <v>29712.698032131782</v>
      </c>
      <c r="J22" s="13"/>
      <c r="K22" s="13"/>
      <c r="L22" s="13"/>
      <c r="M22" s="13"/>
    </row>
    <row r="23" spans="1:13" s="27" customFormat="1" ht="25.2" customHeight="1" x14ac:dyDescent="0.4">
      <c r="A23" s="106" t="s">
        <v>297</v>
      </c>
      <c r="B23" s="114">
        <f>2548604910.44*0.63/100</f>
        <v>16056210.935772</v>
      </c>
      <c r="C23" s="114">
        <f>5263197.2*0.63/100</f>
        <v>33158.142359999998</v>
      </c>
      <c r="D23" s="114">
        <f>97396995.42*0.63/100</f>
        <v>613601.07114600006</v>
      </c>
      <c r="E23" s="114">
        <f>297148778.59*0.63/100</f>
        <v>1872037.3051169997</v>
      </c>
      <c r="F23" s="114">
        <f t="shared" si="1"/>
        <v>18575007.454395</v>
      </c>
      <c r="G23" s="120">
        <v>5071</v>
      </c>
      <c r="H23" s="116" t="s">
        <v>100</v>
      </c>
      <c r="I23" s="117">
        <f t="shared" si="0"/>
        <v>3662.9870744222048</v>
      </c>
      <c r="J23" s="13"/>
      <c r="K23" s="13"/>
      <c r="L23" s="13"/>
      <c r="M23" s="13"/>
    </row>
    <row r="24" spans="1:13" s="27" customFormat="1" ht="24.6" customHeight="1" x14ac:dyDescent="0.4">
      <c r="A24" s="72" t="s">
        <v>120</v>
      </c>
      <c r="B24" s="114">
        <f>2548604910.44*0.26/100</f>
        <v>6626372.7671440002</v>
      </c>
      <c r="C24" s="114">
        <f>5263197.2*0.26/100</f>
        <v>13684.312720000002</v>
      </c>
      <c r="D24" s="114">
        <f>97396995.42*0.26/100</f>
        <v>253232.188092</v>
      </c>
      <c r="E24" s="114">
        <f>297148778.59*0.26/100</f>
        <v>772586.82433399989</v>
      </c>
      <c r="F24" s="114">
        <f t="shared" si="1"/>
        <v>7665876.0922900001</v>
      </c>
      <c r="G24" s="120">
        <v>246</v>
      </c>
      <c r="H24" s="116" t="s">
        <v>100</v>
      </c>
      <c r="I24" s="117">
        <f t="shared" si="0"/>
        <v>31162.097936138212</v>
      </c>
      <c r="J24" s="13"/>
      <c r="K24" s="13"/>
      <c r="L24" s="13"/>
      <c r="M24" s="13"/>
    </row>
    <row r="25" spans="1:13" s="27" customFormat="1" ht="21" customHeight="1" x14ac:dyDescent="0.4">
      <c r="A25" s="72" t="s">
        <v>208</v>
      </c>
      <c r="B25" s="114">
        <f>2548604910.44*1.08/100</f>
        <v>27524933.032752004</v>
      </c>
      <c r="C25" s="114">
        <f>5263197.2*1.08/100</f>
        <v>56842.529760000005</v>
      </c>
      <c r="D25" s="114">
        <f>97396995.42*1.08/100</f>
        <v>1051887.5505360002</v>
      </c>
      <c r="E25" s="114">
        <f>297148778.59*1.08/100</f>
        <v>3209206.808772</v>
      </c>
      <c r="F25" s="114">
        <f t="shared" si="1"/>
        <v>31842869.921820004</v>
      </c>
      <c r="G25" s="120">
        <v>2003</v>
      </c>
      <c r="H25" s="116" t="s">
        <v>100</v>
      </c>
      <c r="I25" s="117">
        <f t="shared" si="0"/>
        <v>15897.588578042938</v>
      </c>
      <c r="J25" s="13"/>
      <c r="K25" s="13"/>
      <c r="L25" s="13"/>
      <c r="M25" s="13"/>
    </row>
    <row r="26" spans="1:13" s="27" customFormat="1" ht="21" customHeight="1" x14ac:dyDescent="0.4">
      <c r="A26" s="72" t="s">
        <v>346</v>
      </c>
      <c r="B26" s="114">
        <f>2548604910.44*1.43/100</f>
        <v>36445050.219292</v>
      </c>
      <c r="C26" s="114">
        <f>5263197.2*1.43/100</f>
        <v>75263.719960000002</v>
      </c>
      <c r="D26" s="114">
        <f>97396995.42*1.43/100</f>
        <v>1392777.0345059999</v>
      </c>
      <c r="E26" s="114">
        <f>297148778.59*1.43/100</f>
        <v>4249227.5338369999</v>
      </c>
      <c r="F26" s="114">
        <f t="shared" si="1"/>
        <v>42162318.507594995</v>
      </c>
      <c r="G26" s="120">
        <v>35</v>
      </c>
      <c r="H26" s="116" t="s">
        <v>101</v>
      </c>
      <c r="I26" s="117">
        <f t="shared" si="0"/>
        <v>1204637.6716455712</v>
      </c>
      <c r="J26" s="13"/>
      <c r="K26" s="13"/>
      <c r="L26" s="13"/>
      <c r="M26" s="13"/>
    </row>
    <row r="27" spans="1:13" s="27" customFormat="1" ht="21" customHeight="1" x14ac:dyDescent="0.4">
      <c r="A27" s="106" t="s">
        <v>347</v>
      </c>
      <c r="B27" s="114">
        <f>2548604910.44*14.92/100</f>
        <v>380251852.63764799</v>
      </c>
      <c r="C27" s="114">
        <f>5263197.2*14.92/100</f>
        <v>785269.02224000008</v>
      </c>
      <c r="D27" s="114">
        <f>97396995.42*14.92/100</f>
        <v>14531631.716663999</v>
      </c>
      <c r="E27" s="114">
        <f>297148778.59*14.92/100</f>
        <v>44334597.765627995</v>
      </c>
      <c r="F27" s="114">
        <f t="shared" si="1"/>
        <v>439903351.14217997</v>
      </c>
      <c r="G27" s="120">
        <v>4391901</v>
      </c>
      <c r="H27" s="116" t="s">
        <v>100</v>
      </c>
      <c r="I27" s="117">
        <f t="shared" si="0"/>
        <v>100.16240146173148</v>
      </c>
      <c r="J27" s="13"/>
      <c r="K27" s="13"/>
      <c r="L27" s="13"/>
      <c r="M27" s="13"/>
    </row>
    <row r="28" spans="1:13" s="27" customFormat="1" ht="21" customHeight="1" x14ac:dyDescent="0.4">
      <c r="A28" s="106" t="s">
        <v>348</v>
      </c>
      <c r="B28" s="114">
        <f>2548604910.44*4.42/100</f>
        <v>112648337.041448</v>
      </c>
      <c r="C28" s="114">
        <f>5263197.2*4.42/100</f>
        <v>232633.31624000001</v>
      </c>
      <c r="D28" s="114">
        <f>97396995.42*4.42/100</f>
        <v>4304947.1975640003</v>
      </c>
      <c r="E28" s="114">
        <f>297148778.59*4.42/100</f>
        <v>13133976.013677998</v>
      </c>
      <c r="F28" s="114">
        <f t="shared" si="1"/>
        <v>130319893.56893</v>
      </c>
      <c r="G28" s="120">
        <v>21</v>
      </c>
      <c r="H28" s="116" t="s">
        <v>102</v>
      </c>
      <c r="I28" s="117">
        <f t="shared" si="0"/>
        <v>6205709.2175680948</v>
      </c>
      <c r="J28" s="13"/>
      <c r="K28" s="13"/>
      <c r="L28" s="13"/>
      <c r="M28" s="13"/>
    </row>
    <row r="29" spans="1:13" s="27" customFormat="1" ht="21" customHeight="1" x14ac:dyDescent="0.4">
      <c r="A29" s="72" t="s">
        <v>349</v>
      </c>
      <c r="B29" s="114">
        <f>2548604910.44*0.13/100</f>
        <v>3313186.3835720001</v>
      </c>
      <c r="C29" s="114">
        <f>5263197.2*0.13/100</f>
        <v>6842.1563600000009</v>
      </c>
      <c r="D29" s="114">
        <f>97396995.42*0.13/100</f>
        <v>126616.094046</v>
      </c>
      <c r="E29" s="114">
        <f>297148778.59*0.13/100</f>
        <v>386293.41216699994</v>
      </c>
      <c r="F29" s="114">
        <f t="shared" si="1"/>
        <v>3832938.046145</v>
      </c>
      <c r="G29" s="120">
        <v>114</v>
      </c>
      <c r="H29" s="116" t="s">
        <v>100</v>
      </c>
      <c r="I29" s="117">
        <f t="shared" si="0"/>
        <v>33622.263562675442</v>
      </c>
      <c r="J29" s="13"/>
      <c r="K29" s="13"/>
      <c r="L29" s="13"/>
      <c r="M29" s="13"/>
    </row>
    <row r="30" spans="1:13" s="27" customFormat="1" ht="35.4" customHeight="1" x14ac:dyDescent="0.4">
      <c r="A30" s="106" t="s">
        <v>350</v>
      </c>
      <c r="B30" s="114">
        <f>2548604910.44*0.6/100</f>
        <v>15291629.462639999</v>
      </c>
      <c r="C30" s="114">
        <f>5263197.2*0.6/100</f>
        <v>31579.183199999999</v>
      </c>
      <c r="D30" s="114">
        <f>97396995.42*0.6/100</f>
        <v>584381.97251999995</v>
      </c>
      <c r="E30" s="114">
        <f>297148778.59*0.6/100</f>
        <v>1782892.6715399998</v>
      </c>
      <c r="F30" s="114">
        <f t="shared" si="1"/>
        <v>17690483.289899997</v>
      </c>
      <c r="G30" s="170">
        <v>5</v>
      </c>
      <c r="H30" s="171" t="s">
        <v>105</v>
      </c>
      <c r="I30" s="169">
        <f t="shared" si="0"/>
        <v>3538096.6579799997</v>
      </c>
      <c r="J30" s="13"/>
      <c r="K30" s="13"/>
      <c r="L30" s="13"/>
      <c r="M30" s="13"/>
    </row>
    <row r="31" spans="1:13" s="27" customFormat="1" ht="21" customHeight="1" x14ac:dyDescent="0.4">
      <c r="A31" s="106" t="s">
        <v>351</v>
      </c>
      <c r="B31" s="114">
        <f>2548604910.44*2.9/100</f>
        <v>73909542.402759999</v>
      </c>
      <c r="C31" s="114">
        <f>5263197.2*2.9/100</f>
        <v>152632.7188</v>
      </c>
      <c r="D31" s="114">
        <f>97396995.42*2.9/100</f>
        <v>2824512.8671800001</v>
      </c>
      <c r="E31" s="114">
        <f>297148778.59*2.9/100</f>
        <v>8617314.5791099984</v>
      </c>
      <c r="F31" s="114">
        <f t="shared" si="1"/>
        <v>85504002.567849994</v>
      </c>
      <c r="G31" s="120">
        <v>31569</v>
      </c>
      <c r="H31" s="116" t="s">
        <v>100</v>
      </c>
      <c r="I31" s="117">
        <f t="shared" si="0"/>
        <v>2708.4799191564507</v>
      </c>
      <c r="J31" s="13"/>
      <c r="K31" s="13"/>
      <c r="L31" s="13"/>
      <c r="M31" s="13"/>
    </row>
    <row r="32" spans="1:13" s="27" customFormat="1" ht="21" customHeight="1" x14ac:dyDescent="0.4">
      <c r="A32" s="72" t="s">
        <v>352</v>
      </c>
      <c r="B32" s="114">
        <f>2548604910.44*1.01/100</f>
        <v>25740909.595444001</v>
      </c>
      <c r="C32" s="114">
        <f>5263197.2*1.01/100</f>
        <v>53158.291720000001</v>
      </c>
      <c r="D32" s="114">
        <f>97396995.42*1.01/100</f>
        <v>983709.65374199999</v>
      </c>
      <c r="E32" s="114">
        <f>297148778.59*1.01/100</f>
        <v>3001202.6637589997</v>
      </c>
      <c r="F32" s="114">
        <f t="shared" si="1"/>
        <v>29778980.204665001</v>
      </c>
      <c r="G32" s="120">
        <v>8200</v>
      </c>
      <c r="H32" s="116" t="s">
        <v>100</v>
      </c>
      <c r="I32" s="117">
        <f t="shared" si="0"/>
        <v>3631.5829517884149</v>
      </c>
      <c r="J32" s="13"/>
      <c r="K32" s="13"/>
      <c r="L32" s="13"/>
      <c r="M32" s="13"/>
    </row>
    <row r="33" spans="1:13" s="27" customFormat="1" ht="24" customHeight="1" x14ac:dyDescent="0.4">
      <c r="A33" s="148" t="s">
        <v>353</v>
      </c>
      <c r="B33" s="114">
        <f>2548604910.44*0.03/100</f>
        <v>764581.47313199996</v>
      </c>
      <c r="C33" s="114">
        <f>5263197.2*0.03/100</f>
        <v>1578.9591599999999</v>
      </c>
      <c r="D33" s="114">
        <f>97396995.42*0.03/100</f>
        <v>29219.098626000003</v>
      </c>
      <c r="E33" s="114">
        <f>297148778.59*0.03/100</f>
        <v>89144.633577000001</v>
      </c>
      <c r="F33" s="114">
        <f t="shared" si="1"/>
        <v>884524.16449499992</v>
      </c>
      <c r="G33" s="120">
        <v>170</v>
      </c>
      <c r="H33" s="116" t="s">
        <v>100</v>
      </c>
      <c r="I33" s="117">
        <f t="shared" si="0"/>
        <v>5203.0833205588233</v>
      </c>
      <c r="J33" s="13"/>
      <c r="K33" s="13"/>
      <c r="L33" s="13"/>
      <c r="M33" s="13"/>
    </row>
    <row r="34" spans="1:13" s="27" customFormat="1" ht="37.799999999999997" customHeight="1" x14ac:dyDescent="0.4">
      <c r="A34" s="106" t="s">
        <v>354</v>
      </c>
      <c r="B34" s="114">
        <f>2548604910.44*3.72/100</f>
        <v>94808102.668368012</v>
      </c>
      <c r="C34" s="114">
        <f>5263197.2*3.72/100</f>
        <v>195790.93584000002</v>
      </c>
      <c r="D34" s="114">
        <f>97396995.42*3.72/100</f>
        <v>3623168.2296240004</v>
      </c>
      <c r="E34" s="114">
        <f>297148778.59*3.72/100</f>
        <v>11053934.563548001</v>
      </c>
      <c r="F34" s="114">
        <f t="shared" si="1"/>
        <v>109680996.39738001</v>
      </c>
      <c r="G34" s="170">
        <v>10939</v>
      </c>
      <c r="H34" s="171" t="s">
        <v>100</v>
      </c>
      <c r="I34" s="169">
        <f t="shared" si="0"/>
        <v>10026.601736665143</v>
      </c>
      <c r="J34" s="13"/>
      <c r="K34" s="13"/>
      <c r="L34" s="13"/>
      <c r="M34" s="13"/>
    </row>
    <row r="35" spans="1:13" s="27" customFormat="1" ht="21" customHeight="1" x14ac:dyDescent="0.4">
      <c r="A35" s="72" t="s">
        <v>355</v>
      </c>
      <c r="B35" s="114">
        <f>2548604910.44*26.59/100</f>
        <v>677674045.68599606</v>
      </c>
      <c r="C35" s="114">
        <f>5263197.2*26.59/100</f>
        <v>1399484.1354800002</v>
      </c>
      <c r="D35" s="114">
        <f>97396995.42*26.59/100</f>
        <v>25897861.082178</v>
      </c>
      <c r="E35" s="114">
        <f>297148778.59*26.59/100</f>
        <v>79011860.227081001</v>
      </c>
      <c r="F35" s="114">
        <f t="shared" si="1"/>
        <v>783983251.13073516</v>
      </c>
      <c r="G35" s="170">
        <v>270230</v>
      </c>
      <c r="H35" s="171" t="s">
        <v>100</v>
      </c>
      <c r="I35" s="169">
        <f t="shared" si="0"/>
        <v>2901.1703035589503</v>
      </c>
      <c r="J35" s="13"/>
      <c r="K35" s="13"/>
      <c r="L35" s="13"/>
      <c r="M35" s="13"/>
    </row>
    <row r="36" spans="1:13" s="27" customFormat="1" ht="21.6" customHeight="1" x14ac:dyDescent="0.4">
      <c r="A36" s="106" t="s">
        <v>356</v>
      </c>
      <c r="B36" s="114">
        <f>2548604910.44*4.37/100</f>
        <v>111374034.58622801</v>
      </c>
      <c r="C36" s="114">
        <f>5263197.2*4.37/100</f>
        <v>230001.71764000002</v>
      </c>
      <c r="D36" s="114">
        <f>97396995.42*4.37/100</f>
        <v>4256248.6998540005</v>
      </c>
      <c r="E36" s="114">
        <f>297148778.59*4.37/100</f>
        <v>12985401.624382999</v>
      </c>
      <c r="F36" s="114">
        <f t="shared" si="1"/>
        <v>128845686.62810501</v>
      </c>
      <c r="G36" s="170">
        <v>11607</v>
      </c>
      <c r="H36" s="171" t="s">
        <v>100</v>
      </c>
      <c r="I36" s="169">
        <f t="shared" si="0"/>
        <v>11100.688087197814</v>
      </c>
      <c r="J36" s="13"/>
      <c r="K36" s="13"/>
      <c r="L36" s="13"/>
      <c r="M36" s="13"/>
    </row>
    <row r="37" spans="1:13" s="25" customFormat="1" ht="21" customHeight="1" thickBot="1" x14ac:dyDescent="0.45">
      <c r="A37" s="121" t="s">
        <v>17</v>
      </c>
      <c r="B37" s="122">
        <f>B8+B9+B10+B11+B12+B13+B15+B16+B17+B18+B19+B20+B21+B22+B23+B24+B25+B26+B27+B28+B29+B30+B31+B32+B33+B34+B35+B36</f>
        <v>2548604910.4400001</v>
      </c>
      <c r="C37" s="122">
        <f>SUM(C8:C36)</f>
        <v>5263197.2</v>
      </c>
      <c r="D37" s="122">
        <f>SUM(D8:D36)</f>
        <v>97396995.419999987</v>
      </c>
      <c r="E37" s="122">
        <f>SUM(E8:E36)</f>
        <v>297148778.58999991</v>
      </c>
      <c r="F37" s="122">
        <f>SUM(F8:F36)</f>
        <v>2948413881.6499996</v>
      </c>
      <c r="G37" s="122">
        <f>SUM(G8:G36)</f>
        <v>4952816</v>
      </c>
      <c r="H37" s="123"/>
      <c r="I37" s="122">
        <f>+F37/G37</f>
        <v>595.30050816545565</v>
      </c>
    </row>
    <row r="38" spans="1:13" ht="21" customHeight="1" thickTop="1" x14ac:dyDescent="0.4"/>
    <row r="39" spans="1:13" ht="21" customHeight="1" x14ac:dyDescent="0.4">
      <c r="B39" s="125"/>
    </row>
    <row r="40" spans="1:13" x14ac:dyDescent="0.4">
      <c r="B40" s="13">
        <f>2548604910.44-2548604910.44</f>
        <v>0</v>
      </c>
      <c r="C40" s="13">
        <f>5263197.2-5263197.2</f>
        <v>0</v>
      </c>
      <c r="D40" s="13">
        <f>97396995.42-97396995.42</f>
        <v>0</v>
      </c>
      <c r="E40" s="13">
        <f>297148778.59-297148778.59</f>
        <v>0</v>
      </c>
      <c r="F40" s="13">
        <f>2948413881.65-2948413881.65</f>
        <v>0</v>
      </c>
    </row>
  </sheetData>
  <mergeCells count="12">
    <mergeCell ref="A1:I1"/>
    <mergeCell ref="A2:I2"/>
    <mergeCell ref="A3:I3"/>
    <mergeCell ref="F6:F7"/>
    <mergeCell ref="G6:G7"/>
    <mergeCell ref="H6:H7"/>
    <mergeCell ref="I6:I7"/>
    <mergeCell ref="A6:A7"/>
    <mergeCell ref="B6:B7"/>
    <mergeCell ref="C6:C7"/>
    <mergeCell ref="D6:D7"/>
    <mergeCell ref="E6:E7"/>
  </mergeCells>
  <pageMargins left="0.9055118110236221" right="0.9055118110236221" top="0" bottom="0" header="0.31496062992125984" footer="0.31496062992125984"/>
  <pageSetup paperSize="9" scale="63" orientation="landscape" r:id="rId1"/>
  <headerFooter>
    <oddHeader>&amp;R6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M39"/>
  <sheetViews>
    <sheetView topLeftCell="A4" workbookViewId="0">
      <selection activeCell="B18" sqref="B18"/>
    </sheetView>
  </sheetViews>
  <sheetFormatPr defaultColWidth="8.19921875" defaultRowHeight="25.05" customHeight="1" x14ac:dyDescent="0.4"/>
  <cols>
    <col min="1" max="1" width="55.19921875" style="13" customWidth="1"/>
    <col min="2" max="2" width="19.09765625" style="13" customWidth="1"/>
    <col min="3" max="3" width="17.19921875" style="13" customWidth="1"/>
    <col min="4" max="4" width="16.3984375" style="13" customWidth="1"/>
    <col min="5" max="5" width="17.5" style="13" customWidth="1"/>
    <col min="6" max="6" width="17.69921875" style="13" customWidth="1"/>
    <col min="7" max="7" width="14.5" style="124" customWidth="1"/>
    <col min="8" max="8" width="11.3984375" style="13" customWidth="1"/>
    <col min="9" max="9" width="14.09765625" style="13" bestFit="1" customWidth="1"/>
    <col min="10" max="10" width="11.19921875" style="13" bestFit="1" customWidth="1"/>
    <col min="11" max="12" width="21.5" style="13" bestFit="1" customWidth="1"/>
    <col min="13" max="13" width="19.5" style="13" bestFit="1" customWidth="1"/>
    <col min="14" max="256" width="8.19921875" style="13"/>
    <col min="257" max="257" width="53.8984375" style="13" customWidth="1"/>
    <col min="258" max="258" width="17.3984375" style="13" customWidth="1"/>
    <col min="259" max="259" width="16.796875" style="13" bestFit="1" customWidth="1"/>
    <col min="260" max="260" width="15.19921875" style="13" bestFit="1" customWidth="1"/>
    <col min="261" max="261" width="16.5" style="13" customWidth="1"/>
    <col min="262" max="262" width="16.796875" style="13" bestFit="1" customWidth="1"/>
    <col min="263" max="263" width="13.09765625" style="13" bestFit="1" customWidth="1"/>
    <col min="264" max="264" width="11.3984375" style="13" customWidth="1"/>
    <col min="265" max="265" width="14.09765625" style="13" bestFit="1" customWidth="1"/>
    <col min="266" max="266" width="11.19921875" style="13" bestFit="1" customWidth="1"/>
    <col min="267" max="268" width="21.5" style="13" bestFit="1" customWidth="1"/>
    <col min="269" max="269" width="19.5" style="13" bestFit="1" customWidth="1"/>
    <col min="270" max="512" width="8.19921875" style="13"/>
    <col min="513" max="513" width="53.8984375" style="13" customWidth="1"/>
    <col min="514" max="514" width="17.3984375" style="13" customWidth="1"/>
    <col min="515" max="515" width="16.796875" style="13" bestFit="1" customWidth="1"/>
    <col min="516" max="516" width="15.19921875" style="13" bestFit="1" customWidth="1"/>
    <col min="517" max="517" width="16.5" style="13" customWidth="1"/>
    <col min="518" max="518" width="16.796875" style="13" bestFit="1" customWidth="1"/>
    <col min="519" max="519" width="13.09765625" style="13" bestFit="1" customWidth="1"/>
    <col min="520" max="520" width="11.3984375" style="13" customWidth="1"/>
    <col min="521" max="521" width="14.09765625" style="13" bestFit="1" customWidth="1"/>
    <col min="522" max="522" width="11.19921875" style="13" bestFit="1" customWidth="1"/>
    <col min="523" max="524" width="21.5" style="13" bestFit="1" customWidth="1"/>
    <col min="525" max="525" width="19.5" style="13" bestFit="1" customWidth="1"/>
    <col min="526" max="768" width="8.19921875" style="13"/>
    <col min="769" max="769" width="53.8984375" style="13" customWidth="1"/>
    <col min="770" max="770" width="17.3984375" style="13" customWidth="1"/>
    <col min="771" max="771" width="16.796875" style="13" bestFit="1" customWidth="1"/>
    <col min="772" max="772" width="15.19921875" style="13" bestFit="1" customWidth="1"/>
    <col min="773" max="773" width="16.5" style="13" customWidth="1"/>
    <col min="774" max="774" width="16.796875" style="13" bestFit="1" customWidth="1"/>
    <col min="775" max="775" width="13.09765625" style="13" bestFit="1" customWidth="1"/>
    <col min="776" max="776" width="11.3984375" style="13" customWidth="1"/>
    <col min="777" max="777" width="14.09765625" style="13" bestFit="1" customWidth="1"/>
    <col min="778" max="778" width="11.19921875" style="13" bestFit="1" customWidth="1"/>
    <col min="779" max="780" width="21.5" style="13" bestFit="1" customWidth="1"/>
    <col min="781" max="781" width="19.5" style="13" bestFit="1" customWidth="1"/>
    <col min="782" max="1024" width="8.19921875" style="13"/>
    <col min="1025" max="1025" width="53.8984375" style="13" customWidth="1"/>
    <col min="1026" max="1026" width="17.3984375" style="13" customWidth="1"/>
    <col min="1027" max="1027" width="16.796875" style="13" bestFit="1" customWidth="1"/>
    <col min="1028" max="1028" width="15.19921875" style="13" bestFit="1" customWidth="1"/>
    <col min="1029" max="1029" width="16.5" style="13" customWidth="1"/>
    <col min="1030" max="1030" width="16.796875" style="13" bestFit="1" customWidth="1"/>
    <col min="1031" max="1031" width="13.09765625" style="13" bestFit="1" customWidth="1"/>
    <col min="1032" max="1032" width="11.3984375" style="13" customWidth="1"/>
    <col min="1033" max="1033" width="14.09765625" style="13" bestFit="1" customWidth="1"/>
    <col min="1034" max="1034" width="11.19921875" style="13" bestFit="1" customWidth="1"/>
    <col min="1035" max="1036" width="21.5" style="13" bestFit="1" customWidth="1"/>
    <col min="1037" max="1037" width="19.5" style="13" bestFit="1" customWidth="1"/>
    <col min="1038" max="1280" width="8.19921875" style="13"/>
    <col min="1281" max="1281" width="53.8984375" style="13" customWidth="1"/>
    <col min="1282" max="1282" width="17.3984375" style="13" customWidth="1"/>
    <col min="1283" max="1283" width="16.796875" style="13" bestFit="1" customWidth="1"/>
    <col min="1284" max="1284" width="15.19921875" style="13" bestFit="1" customWidth="1"/>
    <col min="1285" max="1285" width="16.5" style="13" customWidth="1"/>
    <col min="1286" max="1286" width="16.796875" style="13" bestFit="1" customWidth="1"/>
    <col min="1287" max="1287" width="13.09765625" style="13" bestFit="1" customWidth="1"/>
    <col min="1288" max="1288" width="11.3984375" style="13" customWidth="1"/>
    <col min="1289" max="1289" width="14.09765625" style="13" bestFit="1" customWidth="1"/>
    <col min="1290" max="1290" width="11.19921875" style="13" bestFit="1" customWidth="1"/>
    <col min="1291" max="1292" width="21.5" style="13" bestFit="1" customWidth="1"/>
    <col min="1293" max="1293" width="19.5" style="13" bestFit="1" customWidth="1"/>
    <col min="1294" max="1536" width="8.19921875" style="13"/>
    <col min="1537" max="1537" width="53.8984375" style="13" customWidth="1"/>
    <col min="1538" max="1538" width="17.3984375" style="13" customWidth="1"/>
    <col min="1539" max="1539" width="16.796875" style="13" bestFit="1" customWidth="1"/>
    <col min="1540" max="1540" width="15.19921875" style="13" bestFit="1" customWidth="1"/>
    <col min="1541" max="1541" width="16.5" style="13" customWidth="1"/>
    <col min="1542" max="1542" width="16.796875" style="13" bestFit="1" customWidth="1"/>
    <col min="1543" max="1543" width="13.09765625" style="13" bestFit="1" customWidth="1"/>
    <col min="1544" max="1544" width="11.3984375" style="13" customWidth="1"/>
    <col min="1545" max="1545" width="14.09765625" style="13" bestFit="1" customWidth="1"/>
    <col min="1546" max="1546" width="11.19921875" style="13" bestFit="1" customWidth="1"/>
    <col min="1547" max="1548" width="21.5" style="13" bestFit="1" customWidth="1"/>
    <col min="1549" max="1549" width="19.5" style="13" bestFit="1" customWidth="1"/>
    <col min="1550" max="1792" width="8.19921875" style="13"/>
    <col min="1793" max="1793" width="53.8984375" style="13" customWidth="1"/>
    <col min="1794" max="1794" width="17.3984375" style="13" customWidth="1"/>
    <col min="1795" max="1795" width="16.796875" style="13" bestFit="1" customWidth="1"/>
    <col min="1796" max="1796" width="15.19921875" style="13" bestFit="1" customWidth="1"/>
    <col min="1797" max="1797" width="16.5" style="13" customWidth="1"/>
    <col min="1798" max="1798" width="16.796875" style="13" bestFit="1" customWidth="1"/>
    <col min="1799" max="1799" width="13.09765625" style="13" bestFit="1" customWidth="1"/>
    <col min="1800" max="1800" width="11.3984375" style="13" customWidth="1"/>
    <col min="1801" max="1801" width="14.09765625" style="13" bestFit="1" customWidth="1"/>
    <col min="1802" max="1802" width="11.19921875" style="13" bestFit="1" customWidth="1"/>
    <col min="1803" max="1804" width="21.5" style="13" bestFit="1" customWidth="1"/>
    <col min="1805" max="1805" width="19.5" style="13" bestFit="1" customWidth="1"/>
    <col min="1806" max="2048" width="8.19921875" style="13"/>
    <col min="2049" max="2049" width="53.8984375" style="13" customWidth="1"/>
    <col min="2050" max="2050" width="17.3984375" style="13" customWidth="1"/>
    <col min="2051" max="2051" width="16.796875" style="13" bestFit="1" customWidth="1"/>
    <col min="2052" max="2052" width="15.19921875" style="13" bestFit="1" customWidth="1"/>
    <col min="2053" max="2053" width="16.5" style="13" customWidth="1"/>
    <col min="2054" max="2054" width="16.796875" style="13" bestFit="1" customWidth="1"/>
    <col min="2055" max="2055" width="13.09765625" style="13" bestFit="1" customWidth="1"/>
    <col min="2056" max="2056" width="11.3984375" style="13" customWidth="1"/>
    <col min="2057" max="2057" width="14.09765625" style="13" bestFit="1" customWidth="1"/>
    <col min="2058" max="2058" width="11.19921875" style="13" bestFit="1" customWidth="1"/>
    <col min="2059" max="2060" width="21.5" style="13" bestFit="1" customWidth="1"/>
    <col min="2061" max="2061" width="19.5" style="13" bestFit="1" customWidth="1"/>
    <col min="2062" max="2304" width="8.19921875" style="13"/>
    <col min="2305" max="2305" width="53.8984375" style="13" customWidth="1"/>
    <col min="2306" max="2306" width="17.3984375" style="13" customWidth="1"/>
    <col min="2307" max="2307" width="16.796875" style="13" bestFit="1" customWidth="1"/>
    <col min="2308" max="2308" width="15.19921875" style="13" bestFit="1" customWidth="1"/>
    <col min="2309" max="2309" width="16.5" style="13" customWidth="1"/>
    <col min="2310" max="2310" width="16.796875" style="13" bestFit="1" customWidth="1"/>
    <col min="2311" max="2311" width="13.09765625" style="13" bestFit="1" customWidth="1"/>
    <col min="2312" max="2312" width="11.3984375" style="13" customWidth="1"/>
    <col min="2313" max="2313" width="14.09765625" style="13" bestFit="1" customWidth="1"/>
    <col min="2314" max="2314" width="11.19921875" style="13" bestFit="1" customWidth="1"/>
    <col min="2315" max="2316" width="21.5" style="13" bestFit="1" customWidth="1"/>
    <col min="2317" max="2317" width="19.5" style="13" bestFit="1" customWidth="1"/>
    <col min="2318" max="2560" width="8.19921875" style="13"/>
    <col min="2561" max="2561" width="53.8984375" style="13" customWidth="1"/>
    <col min="2562" max="2562" width="17.3984375" style="13" customWidth="1"/>
    <col min="2563" max="2563" width="16.796875" style="13" bestFit="1" customWidth="1"/>
    <col min="2564" max="2564" width="15.19921875" style="13" bestFit="1" customWidth="1"/>
    <col min="2565" max="2565" width="16.5" style="13" customWidth="1"/>
    <col min="2566" max="2566" width="16.796875" style="13" bestFit="1" customWidth="1"/>
    <col min="2567" max="2567" width="13.09765625" style="13" bestFit="1" customWidth="1"/>
    <col min="2568" max="2568" width="11.3984375" style="13" customWidth="1"/>
    <col min="2569" max="2569" width="14.09765625" style="13" bestFit="1" customWidth="1"/>
    <col min="2570" max="2570" width="11.19921875" style="13" bestFit="1" customWidth="1"/>
    <col min="2571" max="2572" width="21.5" style="13" bestFit="1" customWidth="1"/>
    <col min="2573" max="2573" width="19.5" style="13" bestFit="1" customWidth="1"/>
    <col min="2574" max="2816" width="8.19921875" style="13"/>
    <col min="2817" max="2817" width="53.8984375" style="13" customWidth="1"/>
    <col min="2818" max="2818" width="17.3984375" style="13" customWidth="1"/>
    <col min="2819" max="2819" width="16.796875" style="13" bestFit="1" customWidth="1"/>
    <col min="2820" max="2820" width="15.19921875" style="13" bestFit="1" customWidth="1"/>
    <col min="2821" max="2821" width="16.5" style="13" customWidth="1"/>
    <col min="2822" max="2822" width="16.796875" style="13" bestFit="1" customWidth="1"/>
    <col min="2823" max="2823" width="13.09765625" style="13" bestFit="1" customWidth="1"/>
    <col min="2824" max="2824" width="11.3984375" style="13" customWidth="1"/>
    <col min="2825" max="2825" width="14.09765625" style="13" bestFit="1" customWidth="1"/>
    <col min="2826" max="2826" width="11.19921875" style="13" bestFit="1" customWidth="1"/>
    <col min="2827" max="2828" width="21.5" style="13" bestFit="1" customWidth="1"/>
    <col min="2829" max="2829" width="19.5" style="13" bestFit="1" customWidth="1"/>
    <col min="2830" max="3072" width="8.19921875" style="13"/>
    <col min="3073" max="3073" width="53.8984375" style="13" customWidth="1"/>
    <col min="3074" max="3074" width="17.3984375" style="13" customWidth="1"/>
    <col min="3075" max="3075" width="16.796875" style="13" bestFit="1" customWidth="1"/>
    <col min="3076" max="3076" width="15.19921875" style="13" bestFit="1" customWidth="1"/>
    <col min="3077" max="3077" width="16.5" style="13" customWidth="1"/>
    <col min="3078" max="3078" width="16.796875" style="13" bestFit="1" customWidth="1"/>
    <col min="3079" max="3079" width="13.09765625" style="13" bestFit="1" customWidth="1"/>
    <col min="3080" max="3080" width="11.3984375" style="13" customWidth="1"/>
    <col min="3081" max="3081" width="14.09765625" style="13" bestFit="1" customWidth="1"/>
    <col min="3082" max="3082" width="11.19921875" style="13" bestFit="1" customWidth="1"/>
    <col min="3083" max="3084" width="21.5" style="13" bestFit="1" customWidth="1"/>
    <col min="3085" max="3085" width="19.5" style="13" bestFit="1" customWidth="1"/>
    <col min="3086" max="3328" width="8.19921875" style="13"/>
    <col min="3329" max="3329" width="53.8984375" style="13" customWidth="1"/>
    <col min="3330" max="3330" width="17.3984375" style="13" customWidth="1"/>
    <col min="3331" max="3331" width="16.796875" style="13" bestFit="1" customWidth="1"/>
    <col min="3332" max="3332" width="15.19921875" style="13" bestFit="1" customWidth="1"/>
    <col min="3333" max="3333" width="16.5" style="13" customWidth="1"/>
    <col min="3334" max="3334" width="16.796875" style="13" bestFit="1" customWidth="1"/>
    <col min="3335" max="3335" width="13.09765625" style="13" bestFit="1" customWidth="1"/>
    <col min="3336" max="3336" width="11.3984375" style="13" customWidth="1"/>
    <col min="3337" max="3337" width="14.09765625" style="13" bestFit="1" customWidth="1"/>
    <col min="3338" max="3338" width="11.19921875" style="13" bestFit="1" customWidth="1"/>
    <col min="3339" max="3340" width="21.5" style="13" bestFit="1" customWidth="1"/>
    <col min="3341" max="3341" width="19.5" style="13" bestFit="1" customWidth="1"/>
    <col min="3342" max="3584" width="8.19921875" style="13"/>
    <col min="3585" max="3585" width="53.8984375" style="13" customWidth="1"/>
    <col min="3586" max="3586" width="17.3984375" style="13" customWidth="1"/>
    <col min="3587" max="3587" width="16.796875" style="13" bestFit="1" customWidth="1"/>
    <col min="3588" max="3588" width="15.19921875" style="13" bestFit="1" customWidth="1"/>
    <col min="3589" max="3589" width="16.5" style="13" customWidth="1"/>
    <col min="3590" max="3590" width="16.796875" style="13" bestFit="1" customWidth="1"/>
    <col min="3591" max="3591" width="13.09765625" style="13" bestFit="1" customWidth="1"/>
    <col min="3592" max="3592" width="11.3984375" style="13" customWidth="1"/>
    <col min="3593" max="3593" width="14.09765625" style="13" bestFit="1" customWidth="1"/>
    <col min="3594" max="3594" width="11.19921875" style="13" bestFit="1" customWidth="1"/>
    <col min="3595" max="3596" width="21.5" style="13" bestFit="1" customWidth="1"/>
    <col min="3597" max="3597" width="19.5" style="13" bestFit="1" customWidth="1"/>
    <col min="3598" max="3840" width="8.19921875" style="13"/>
    <col min="3841" max="3841" width="53.8984375" style="13" customWidth="1"/>
    <col min="3842" max="3842" width="17.3984375" style="13" customWidth="1"/>
    <col min="3843" max="3843" width="16.796875" style="13" bestFit="1" customWidth="1"/>
    <col min="3844" max="3844" width="15.19921875" style="13" bestFit="1" customWidth="1"/>
    <col min="3845" max="3845" width="16.5" style="13" customWidth="1"/>
    <col min="3846" max="3846" width="16.796875" style="13" bestFit="1" customWidth="1"/>
    <col min="3847" max="3847" width="13.09765625" style="13" bestFit="1" customWidth="1"/>
    <col min="3848" max="3848" width="11.3984375" style="13" customWidth="1"/>
    <col min="3849" max="3849" width="14.09765625" style="13" bestFit="1" customWidth="1"/>
    <col min="3850" max="3850" width="11.19921875" style="13" bestFit="1" customWidth="1"/>
    <col min="3851" max="3852" width="21.5" style="13" bestFit="1" customWidth="1"/>
    <col min="3853" max="3853" width="19.5" style="13" bestFit="1" customWidth="1"/>
    <col min="3854" max="4096" width="8.19921875" style="13"/>
    <col min="4097" max="4097" width="53.8984375" style="13" customWidth="1"/>
    <col min="4098" max="4098" width="17.3984375" style="13" customWidth="1"/>
    <col min="4099" max="4099" width="16.796875" style="13" bestFit="1" customWidth="1"/>
    <col min="4100" max="4100" width="15.19921875" style="13" bestFit="1" customWidth="1"/>
    <col min="4101" max="4101" width="16.5" style="13" customWidth="1"/>
    <col min="4102" max="4102" width="16.796875" style="13" bestFit="1" customWidth="1"/>
    <col min="4103" max="4103" width="13.09765625" style="13" bestFit="1" customWidth="1"/>
    <col min="4104" max="4104" width="11.3984375" style="13" customWidth="1"/>
    <col min="4105" max="4105" width="14.09765625" style="13" bestFit="1" customWidth="1"/>
    <col min="4106" max="4106" width="11.19921875" style="13" bestFit="1" customWidth="1"/>
    <col min="4107" max="4108" width="21.5" style="13" bestFit="1" customWidth="1"/>
    <col min="4109" max="4109" width="19.5" style="13" bestFit="1" customWidth="1"/>
    <col min="4110" max="4352" width="8.19921875" style="13"/>
    <col min="4353" max="4353" width="53.8984375" style="13" customWidth="1"/>
    <col min="4354" max="4354" width="17.3984375" style="13" customWidth="1"/>
    <col min="4355" max="4355" width="16.796875" style="13" bestFit="1" customWidth="1"/>
    <col min="4356" max="4356" width="15.19921875" style="13" bestFit="1" customWidth="1"/>
    <col min="4357" max="4357" width="16.5" style="13" customWidth="1"/>
    <col min="4358" max="4358" width="16.796875" style="13" bestFit="1" customWidth="1"/>
    <col min="4359" max="4359" width="13.09765625" style="13" bestFit="1" customWidth="1"/>
    <col min="4360" max="4360" width="11.3984375" style="13" customWidth="1"/>
    <col min="4361" max="4361" width="14.09765625" style="13" bestFit="1" customWidth="1"/>
    <col min="4362" max="4362" width="11.19921875" style="13" bestFit="1" customWidth="1"/>
    <col min="4363" max="4364" width="21.5" style="13" bestFit="1" customWidth="1"/>
    <col min="4365" max="4365" width="19.5" style="13" bestFit="1" customWidth="1"/>
    <col min="4366" max="4608" width="8.19921875" style="13"/>
    <col min="4609" max="4609" width="53.8984375" style="13" customWidth="1"/>
    <col min="4610" max="4610" width="17.3984375" style="13" customWidth="1"/>
    <col min="4611" max="4611" width="16.796875" style="13" bestFit="1" customWidth="1"/>
    <col min="4612" max="4612" width="15.19921875" style="13" bestFit="1" customWidth="1"/>
    <col min="4613" max="4613" width="16.5" style="13" customWidth="1"/>
    <col min="4614" max="4614" width="16.796875" style="13" bestFit="1" customWidth="1"/>
    <col min="4615" max="4615" width="13.09765625" style="13" bestFit="1" customWidth="1"/>
    <col min="4616" max="4616" width="11.3984375" style="13" customWidth="1"/>
    <col min="4617" max="4617" width="14.09765625" style="13" bestFit="1" customWidth="1"/>
    <col min="4618" max="4618" width="11.19921875" style="13" bestFit="1" customWidth="1"/>
    <col min="4619" max="4620" width="21.5" style="13" bestFit="1" customWidth="1"/>
    <col min="4621" max="4621" width="19.5" style="13" bestFit="1" customWidth="1"/>
    <col min="4622" max="4864" width="8.19921875" style="13"/>
    <col min="4865" max="4865" width="53.8984375" style="13" customWidth="1"/>
    <col min="4866" max="4866" width="17.3984375" style="13" customWidth="1"/>
    <col min="4867" max="4867" width="16.796875" style="13" bestFit="1" customWidth="1"/>
    <col min="4868" max="4868" width="15.19921875" style="13" bestFit="1" customWidth="1"/>
    <col min="4869" max="4869" width="16.5" style="13" customWidth="1"/>
    <col min="4870" max="4870" width="16.796875" style="13" bestFit="1" customWidth="1"/>
    <col min="4871" max="4871" width="13.09765625" style="13" bestFit="1" customWidth="1"/>
    <col min="4872" max="4872" width="11.3984375" style="13" customWidth="1"/>
    <col min="4873" max="4873" width="14.09765625" style="13" bestFit="1" customWidth="1"/>
    <col min="4874" max="4874" width="11.19921875" style="13" bestFit="1" customWidth="1"/>
    <col min="4875" max="4876" width="21.5" style="13" bestFit="1" customWidth="1"/>
    <col min="4877" max="4877" width="19.5" style="13" bestFit="1" customWidth="1"/>
    <col min="4878" max="5120" width="8.19921875" style="13"/>
    <col min="5121" max="5121" width="53.8984375" style="13" customWidth="1"/>
    <col min="5122" max="5122" width="17.3984375" style="13" customWidth="1"/>
    <col min="5123" max="5123" width="16.796875" style="13" bestFit="1" customWidth="1"/>
    <col min="5124" max="5124" width="15.19921875" style="13" bestFit="1" customWidth="1"/>
    <col min="5125" max="5125" width="16.5" style="13" customWidth="1"/>
    <col min="5126" max="5126" width="16.796875" style="13" bestFit="1" customWidth="1"/>
    <col min="5127" max="5127" width="13.09765625" style="13" bestFit="1" customWidth="1"/>
    <col min="5128" max="5128" width="11.3984375" style="13" customWidth="1"/>
    <col min="5129" max="5129" width="14.09765625" style="13" bestFit="1" customWidth="1"/>
    <col min="5130" max="5130" width="11.19921875" style="13" bestFit="1" customWidth="1"/>
    <col min="5131" max="5132" width="21.5" style="13" bestFit="1" customWidth="1"/>
    <col min="5133" max="5133" width="19.5" style="13" bestFit="1" customWidth="1"/>
    <col min="5134" max="5376" width="8.19921875" style="13"/>
    <col min="5377" max="5377" width="53.8984375" style="13" customWidth="1"/>
    <col min="5378" max="5378" width="17.3984375" style="13" customWidth="1"/>
    <col min="5379" max="5379" width="16.796875" style="13" bestFit="1" customWidth="1"/>
    <col min="5380" max="5380" width="15.19921875" style="13" bestFit="1" customWidth="1"/>
    <col min="5381" max="5381" width="16.5" style="13" customWidth="1"/>
    <col min="5382" max="5382" width="16.796875" style="13" bestFit="1" customWidth="1"/>
    <col min="5383" max="5383" width="13.09765625" style="13" bestFit="1" customWidth="1"/>
    <col min="5384" max="5384" width="11.3984375" style="13" customWidth="1"/>
    <col min="5385" max="5385" width="14.09765625" style="13" bestFit="1" customWidth="1"/>
    <col min="5386" max="5386" width="11.19921875" style="13" bestFit="1" customWidth="1"/>
    <col min="5387" max="5388" width="21.5" style="13" bestFit="1" customWidth="1"/>
    <col min="5389" max="5389" width="19.5" style="13" bestFit="1" customWidth="1"/>
    <col min="5390" max="5632" width="8.19921875" style="13"/>
    <col min="5633" max="5633" width="53.8984375" style="13" customWidth="1"/>
    <col min="5634" max="5634" width="17.3984375" style="13" customWidth="1"/>
    <col min="5635" max="5635" width="16.796875" style="13" bestFit="1" customWidth="1"/>
    <col min="5636" max="5636" width="15.19921875" style="13" bestFit="1" customWidth="1"/>
    <col min="5637" max="5637" width="16.5" style="13" customWidth="1"/>
    <col min="5638" max="5638" width="16.796875" style="13" bestFit="1" customWidth="1"/>
    <col min="5639" max="5639" width="13.09765625" style="13" bestFit="1" customWidth="1"/>
    <col min="5640" max="5640" width="11.3984375" style="13" customWidth="1"/>
    <col min="5641" max="5641" width="14.09765625" style="13" bestFit="1" customWidth="1"/>
    <col min="5642" max="5642" width="11.19921875" style="13" bestFit="1" customWidth="1"/>
    <col min="5643" max="5644" width="21.5" style="13" bestFit="1" customWidth="1"/>
    <col min="5645" max="5645" width="19.5" style="13" bestFit="1" customWidth="1"/>
    <col min="5646" max="5888" width="8.19921875" style="13"/>
    <col min="5889" max="5889" width="53.8984375" style="13" customWidth="1"/>
    <col min="5890" max="5890" width="17.3984375" style="13" customWidth="1"/>
    <col min="5891" max="5891" width="16.796875" style="13" bestFit="1" customWidth="1"/>
    <col min="5892" max="5892" width="15.19921875" style="13" bestFit="1" customWidth="1"/>
    <col min="5893" max="5893" width="16.5" style="13" customWidth="1"/>
    <col min="5894" max="5894" width="16.796875" style="13" bestFit="1" customWidth="1"/>
    <col min="5895" max="5895" width="13.09765625" style="13" bestFit="1" customWidth="1"/>
    <col min="5896" max="5896" width="11.3984375" style="13" customWidth="1"/>
    <col min="5897" max="5897" width="14.09765625" style="13" bestFit="1" customWidth="1"/>
    <col min="5898" max="5898" width="11.19921875" style="13" bestFit="1" customWidth="1"/>
    <col min="5899" max="5900" width="21.5" style="13" bestFit="1" customWidth="1"/>
    <col min="5901" max="5901" width="19.5" style="13" bestFit="1" customWidth="1"/>
    <col min="5902" max="6144" width="8.19921875" style="13"/>
    <col min="6145" max="6145" width="53.8984375" style="13" customWidth="1"/>
    <col min="6146" max="6146" width="17.3984375" style="13" customWidth="1"/>
    <col min="6147" max="6147" width="16.796875" style="13" bestFit="1" customWidth="1"/>
    <col min="6148" max="6148" width="15.19921875" style="13" bestFit="1" customWidth="1"/>
    <col min="6149" max="6149" width="16.5" style="13" customWidth="1"/>
    <col min="6150" max="6150" width="16.796875" style="13" bestFit="1" customWidth="1"/>
    <col min="6151" max="6151" width="13.09765625" style="13" bestFit="1" customWidth="1"/>
    <col min="6152" max="6152" width="11.3984375" style="13" customWidth="1"/>
    <col min="6153" max="6153" width="14.09765625" style="13" bestFit="1" customWidth="1"/>
    <col min="6154" max="6154" width="11.19921875" style="13" bestFit="1" customWidth="1"/>
    <col min="6155" max="6156" width="21.5" style="13" bestFit="1" customWidth="1"/>
    <col min="6157" max="6157" width="19.5" style="13" bestFit="1" customWidth="1"/>
    <col min="6158" max="6400" width="8.19921875" style="13"/>
    <col min="6401" max="6401" width="53.8984375" style="13" customWidth="1"/>
    <col min="6402" max="6402" width="17.3984375" style="13" customWidth="1"/>
    <col min="6403" max="6403" width="16.796875" style="13" bestFit="1" customWidth="1"/>
    <col min="6404" max="6404" width="15.19921875" style="13" bestFit="1" customWidth="1"/>
    <col min="6405" max="6405" width="16.5" style="13" customWidth="1"/>
    <col min="6406" max="6406" width="16.796875" style="13" bestFit="1" customWidth="1"/>
    <col min="6407" max="6407" width="13.09765625" style="13" bestFit="1" customWidth="1"/>
    <col min="6408" max="6408" width="11.3984375" style="13" customWidth="1"/>
    <col min="6409" max="6409" width="14.09765625" style="13" bestFit="1" customWidth="1"/>
    <col min="6410" max="6410" width="11.19921875" style="13" bestFit="1" customWidth="1"/>
    <col min="6411" max="6412" width="21.5" style="13" bestFit="1" customWidth="1"/>
    <col min="6413" max="6413" width="19.5" style="13" bestFit="1" customWidth="1"/>
    <col min="6414" max="6656" width="8.19921875" style="13"/>
    <col min="6657" max="6657" width="53.8984375" style="13" customWidth="1"/>
    <col min="6658" max="6658" width="17.3984375" style="13" customWidth="1"/>
    <col min="6659" max="6659" width="16.796875" style="13" bestFit="1" customWidth="1"/>
    <col min="6660" max="6660" width="15.19921875" style="13" bestFit="1" customWidth="1"/>
    <col min="6661" max="6661" width="16.5" style="13" customWidth="1"/>
    <col min="6662" max="6662" width="16.796875" style="13" bestFit="1" customWidth="1"/>
    <col min="6663" max="6663" width="13.09765625" style="13" bestFit="1" customWidth="1"/>
    <col min="6664" max="6664" width="11.3984375" style="13" customWidth="1"/>
    <col min="6665" max="6665" width="14.09765625" style="13" bestFit="1" customWidth="1"/>
    <col min="6666" max="6666" width="11.19921875" style="13" bestFit="1" customWidth="1"/>
    <col min="6667" max="6668" width="21.5" style="13" bestFit="1" customWidth="1"/>
    <col min="6669" max="6669" width="19.5" style="13" bestFit="1" customWidth="1"/>
    <col min="6670" max="6912" width="8.19921875" style="13"/>
    <col min="6913" max="6913" width="53.8984375" style="13" customWidth="1"/>
    <col min="6914" max="6914" width="17.3984375" style="13" customWidth="1"/>
    <col min="6915" max="6915" width="16.796875" style="13" bestFit="1" customWidth="1"/>
    <col min="6916" max="6916" width="15.19921875" style="13" bestFit="1" customWidth="1"/>
    <col min="6917" max="6917" width="16.5" style="13" customWidth="1"/>
    <col min="6918" max="6918" width="16.796875" style="13" bestFit="1" customWidth="1"/>
    <col min="6919" max="6919" width="13.09765625" style="13" bestFit="1" customWidth="1"/>
    <col min="6920" max="6920" width="11.3984375" style="13" customWidth="1"/>
    <col min="6921" max="6921" width="14.09765625" style="13" bestFit="1" customWidth="1"/>
    <col min="6922" max="6922" width="11.19921875" style="13" bestFit="1" customWidth="1"/>
    <col min="6923" max="6924" width="21.5" style="13" bestFit="1" customWidth="1"/>
    <col min="6925" max="6925" width="19.5" style="13" bestFit="1" customWidth="1"/>
    <col min="6926" max="7168" width="8.19921875" style="13"/>
    <col min="7169" max="7169" width="53.8984375" style="13" customWidth="1"/>
    <col min="7170" max="7170" width="17.3984375" style="13" customWidth="1"/>
    <col min="7171" max="7171" width="16.796875" style="13" bestFit="1" customWidth="1"/>
    <col min="7172" max="7172" width="15.19921875" style="13" bestFit="1" customWidth="1"/>
    <col min="7173" max="7173" width="16.5" style="13" customWidth="1"/>
    <col min="7174" max="7174" width="16.796875" style="13" bestFit="1" customWidth="1"/>
    <col min="7175" max="7175" width="13.09765625" style="13" bestFit="1" customWidth="1"/>
    <col min="7176" max="7176" width="11.3984375" style="13" customWidth="1"/>
    <col min="7177" max="7177" width="14.09765625" style="13" bestFit="1" customWidth="1"/>
    <col min="7178" max="7178" width="11.19921875" style="13" bestFit="1" customWidth="1"/>
    <col min="7179" max="7180" width="21.5" style="13" bestFit="1" customWidth="1"/>
    <col min="7181" max="7181" width="19.5" style="13" bestFit="1" customWidth="1"/>
    <col min="7182" max="7424" width="8.19921875" style="13"/>
    <col min="7425" max="7425" width="53.8984375" style="13" customWidth="1"/>
    <col min="7426" max="7426" width="17.3984375" style="13" customWidth="1"/>
    <col min="7427" max="7427" width="16.796875" style="13" bestFit="1" customWidth="1"/>
    <col min="7428" max="7428" width="15.19921875" style="13" bestFit="1" customWidth="1"/>
    <col min="7429" max="7429" width="16.5" style="13" customWidth="1"/>
    <col min="7430" max="7430" width="16.796875" style="13" bestFit="1" customWidth="1"/>
    <col min="7431" max="7431" width="13.09765625" style="13" bestFit="1" customWidth="1"/>
    <col min="7432" max="7432" width="11.3984375" style="13" customWidth="1"/>
    <col min="7433" max="7433" width="14.09765625" style="13" bestFit="1" customWidth="1"/>
    <col min="7434" max="7434" width="11.19921875" style="13" bestFit="1" customWidth="1"/>
    <col min="7435" max="7436" width="21.5" style="13" bestFit="1" customWidth="1"/>
    <col min="7437" max="7437" width="19.5" style="13" bestFit="1" customWidth="1"/>
    <col min="7438" max="7680" width="8.19921875" style="13"/>
    <col min="7681" max="7681" width="53.8984375" style="13" customWidth="1"/>
    <col min="7682" max="7682" width="17.3984375" style="13" customWidth="1"/>
    <col min="7683" max="7683" width="16.796875" style="13" bestFit="1" customWidth="1"/>
    <col min="7684" max="7684" width="15.19921875" style="13" bestFit="1" customWidth="1"/>
    <col min="7685" max="7685" width="16.5" style="13" customWidth="1"/>
    <col min="7686" max="7686" width="16.796875" style="13" bestFit="1" customWidth="1"/>
    <col min="7687" max="7687" width="13.09765625" style="13" bestFit="1" customWidth="1"/>
    <col min="7688" max="7688" width="11.3984375" style="13" customWidth="1"/>
    <col min="7689" max="7689" width="14.09765625" style="13" bestFit="1" customWidth="1"/>
    <col min="7690" max="7690" width="11.19921875" style="13" bestFit="1" customWidth="1"/>
    <col min="7691" max="7692" width="21.5" style="13" bestFit="1" customWidth="1"/>
    <col min="7693" max="7693" width="19.5" style="13" bestFit="1" customWidth="1"/>
    <col min="7694" max="7936" width="8.19921875" style="13"/>
    <col min="7937" max="7937" width="53.8984375" style="13" customWidth="1"/>
    <col min="7938" max="7938" width="17.3984375" style="13" customWidth="1"/>
    <col min="7939" max="7939" width="16.796875" style="13" bestFit="1" customWidth="1"/>
    <col min="7940" max="7940" width="15.19921875" style="13" bestFit="1" customWidth="1"/>
    <col min="7941" max="7941" width="16.5" style="13" customWidth="1"/>
    <col min="7942" max="7942" width="16.796875" style="13" bestFit="1" customWidth="1"/>
    <col min="7943" max="7943" width="13.09765625" style="13" bestFit="1" customWidth="1"/>
    <col min="7944" max="7944" width="11.3984375" style="13" customWidth="1"/>
    <col min="7945" max="7945" width="14.09765625" style="13" bestFit="1" customWidth="1"/>
    <col min="7946" max="7946" width="11.19921875" style="13" bestFit="1" customWidth="1"/>
    <col min="7947" max="7948" width="21.5" style="13" bestFit="1" customWidth="1"/>
    <col min="7949" max="7949" width="19.5" style="13" bestFit="1" customWidth="1"/>
    <col min="7950" max="8192" width="8.19921875" style="13"/>
    <col min="8193" max="8193" width="53.8984375" style="13" customWidth="1"/>
    <col min="8194" max="8194" width="17.3984375" style="13" customWidth="1"/>
    <col min="8195" max="8195" width="16.796875" style="13" bestFit="1" customWidth="1"/>
    <col min="8196" max="8196" width="15.19921875" style="13" bestFit="1" customWidth="1"/>
    <col min="8197" max="8197" width="16.5" style="13" customWidth="1"/>
    <col min="8198" max="8198" width="16.796875" style="13" bestFit="1" customWidth="1"/>
    <col min="8199" max="8199" width="13.09765625" style="13" bestFit="1" customWidth="1"/>
    <col min="8200" max="8200" width="11.3984375" style="13" customWidth="1"/>
    <col min="8201" max="8201" width="14.09765625" style="13" bestFit="1" customWidth="1"/>
    <col min="8202" max="8202" width="11.19921875" style="13" bestFit="1" customWidth="1"/>
    <col min="8203" max="8204" width="21.5" style="13" bestFit="1" customWidth="1"/>
    <col min="8205" max="8205" width="19.5" style="13" bestFit="1" customWidth="1"/>
    <col min="8206" max="8448" width="8.19921875" style="13"/>
    <col min="8449" max="8449" width="53.8984375" style="13" customWidth="1"/>
    <col min="8450" max="8450" width="17.3984375" style="13" customWidth="1"/>
    <col min="8451" max="8451" width="16.796875" style="13" bestFit="1" customWidth="1"/>
    <col min="8452" max="8452" width="15.19921875" style="13" bestFit="1" customWidth="1"/>
    <col min="8453" max="8453" width="16.5" style="13" customWidth="1"/>
    <col min="8454" max="8454" width="16.796875" style="13" bestFit="1" customWidth="1"/>
    <col min="8455" max="8455" width="13.09765625" style="13" bestFit="1" customWidth="1"/>
    <col min="8456" max="8456" width="11.3984375" style="13" customWidth="1"/>
    <col min="8457" max="8457" width="14.09765625" style="13" bestFit="1" customWidth="1"/>
    <col min="8458" max="8458" width="11.19921875" style="13" bestFit="1" customWidth="1"/>
    <col min="8459" max="8460" width="21.5" style="13" bestFit="1" customWidth="1"/>
    <col min="8461" max="8461" width="19.5" style="13" bestFit="1" customWidth="1"/>
    <col min="8462" max="8704" width="8.19921875" style="13"/>
    <col min="8705" max="8705" width="53.8984375" style="13" customWidth="1"/>
    <col min="8706" max="8706" width="17.3984375" style="13" customWidth="1"/>
    <col min="8707" max="8707" width="16.796875" style="13" bestFit="1" customWidth="1"/>
    <col min="8708" max="8708" width="15.19921875" style="13" bestFit="1" customWidth="1"/>
    <col min="8709" max="8709" width="16.5" style="13" customWidth="1"/>
    <col min="8710" max="8710" width="16.796875" style="13" bestFit="1" customWidth="1"/>
    <col min="8711" max="8711" width="13.09765625" style="13" bestFit="1" customWidth="1"/>
    <col min="8712" max="8712" width="11.3984375" style="13" customWidth="1"/>
    <col min="8713" max="8713" width="14.09765625" style="13" bestFit="1" customWidth="1"/>
    <col min="8714" max="8714" width="11.19921875" style="13" bestFit="1" customWidth="1"/>
    <col min="8715" max="8716" width="21.5" style="13" bestFit="1" customWidth="1"/>
    <col min="8717" max="8717" width="19.5" style="13" bestFit="1" customWidth="1"/>
    <col min="8718" max="8960" width="8.19921875" style="13"/>
    <col min="8961" max="8961" width="53.8984375" style="13" customWidth="1"/>
    <col min="8962" max="8962" width="17.3984375" style="13" customWidth="1"/>
    <col min="8963" max="8963" width="16.796875" style="13" bestFit="1" customWidth="1"/>
    <col min="8964" max="8964" width="15.19921875" style="13" bestFit="1" customWidth="1"/>
    <col min="8965" max="8965" width="16.5" style="13" customWidth="1"/>
    <col min="8966" max="8966" width="16.796875" style="13" bestFit="1" customWidth="1"/>
    <col min="8967" max="8967" width="13.09765625" style="13" bestFit="1" customWidth="1"/>
    <col min="8968" max="8968" width="11.3984375" style="13" customWidth="1"/>
    <col min="8969" max="8969" width="14.09765625" style="13" bestFit="1" customWidth="1"/>
    <col min="8970" max="8970" width="11.19921875" style="13" bestFit="1" customWidth="1"/>
    <col min="8971" max="8972" width="21.5" style="13" bestFit="1" customWidth="1"/>
    <col min="8973" max="8973" width="19.5" style="13" bestFit="1" customWidth="1"/>
    <col min="8974" max="9216" width="8.19921875" style="13"/>
    <col min="9217" max="9217" width="53.8984375" style="13" customWidth="1"/>
    <col min="9218" max="9218" width="17.3984375" style="13" customWidth="1"/>
    <col min="9219" max="9219" width="16.796875" style="13" bestFit="1" customWidth="1"/>
    <col min="9220" max="9220" width="15.19921875" style="13" bestFit="1" customWidth="1"/>
    <col min="9221" max="9221" width="16.5" style="13" customWidth="1"/>
    <col min="9222" max="9222" width="16.796875" style="13" bestFit="1" customWidth="1"/>
    <col min="9223" max="9223" width="13.09765625" style="13" bestFit="1" customWidth="1"/>
    <col min="9224" max="9224" width="11.3984375" style="13" customWidth="1"/>
    <col min="9225" max="9225" width="14.09765625" style="13" bestFit="1" customWidth="1"/>
    <col min="9226" max="9226" width="11.19921875" style="13" bestFit="1" customWidth="1"/>
    <col min="9227" max="9228" width="21.5" style="13" bestFit="1" customWidth="1"/>
    <col min="9229" max="9229" width="19.5" style="13" bestFit="1" customWidth="1"/>
    <col min="9230" max="9472" width="8.19921875" style="13"/>
    <col min="9473" max="9473" width="53.8984375" style="13" customWidth="1"/>
    <col min="9474" max="9474" width="17.3984375" style="13" customWidth="1"/>
    <col min="9475" max="9475" width="16.796875" style="13" bestFit="1" customWidth="1"/>
    <col min="9476" max="9476" width="15.19921875" style="13" bestFit="1" customWidth="1"/>
    <col min="9477" max="9477" width="16.5" style="13" customWidth="1"/>
    <col min="9478" max="9478" width="16.796875" style="13" bestFit="1" customWidth="1"/>
    <col min="9479" max="9479" width="13.09765625" style="13" bestFit="1" customWidth="1"/>
    <col min="9480" max="9480" width="11.3984375" style="13" customWidth="1"/>
    <col min="9481" max="9481" width="14.09765625" style="13" bestFit="1" customWidth="1"/>
    <col min="9482" max="9482" width="11.19921875" style="13" bestFit="1" customWidth="1"/>
    <col min="9483" max="9484" width="21.5" style="13" bestFit="1" customWidth="1"/>
    <col min="9485" max="9485" width="19.5" style="13" bestFit="1" customWidth="1"/>
    <col min="9486" max="9728" width="8.19921875" style="13"/>
    <col min="9729" max="9729" width="53.8984375" style="13" customWidth="1"/>
    <col min="9730" max="9730" width="17.3984375" style="13" customWidth="1"/>
    <col min="9731" max="9731" width="16.796875" style="13" bestFit="1" customWidth="1"/>
    <col min="9732" max="9732" width="15.19921875" style="13" bestFit="1" customWidth="1"/>
    <col min="9733" max="9733" width="16.5" style="13" customWidth="1"/>
    <col min="9734" max="9734" width="16.796875" style="13" bestFit="1" customWidth="1"/>
    <col min="9735" max="9735" width="13.09765625" style="13" bestFit="1" customWidth="1"/>
    <col min="9736" max="9736" width="11.3984375" style="13" customWidth="1"/>
    <col min="9737" max="9737" width="14.09765625" style="13" bestFit="1" customWidth="1"/>
    <col min="9738" max="9738" width="11.19921875" style="13" bestFit="1" customWidth="1"/>
    <col min="9739" max="9740" width="21.5" style="13" bestFit="1" customWidth="1"/>
    <col min="9741" max="9741" width="19.5" style="13" bestFit="1" customWidth="1"/>
    <col min="9742" max="9984" width="8.19921875" style="13"/>
    <col min="9985" max="9985" width="53.8984375" style="13" customWidth="1"/>
    <col min="9986" max="9986" width="17.3984375" style="13" customWidth="1"/>
    <col min="9987" max="9987" width="16.796875" style="13" bestFit="1" customWidth="1"/>
    <col min="9988" max="9988" width="15.19921875" style="13" bestFit="1" customWidth="1"/>
    <col min="9989" max="9989" width="16.5" style="13" customWidth="1"/>
    <col min="9990" max="9990" width="16.796875" style="13" bestFit="1" customWidth="1"/>
    <col min="9991" max="9991" width="13.09765625" style="13" bestFit="1" customWidth="1"/>
    <col min="9992" max="9992" width="11.3984375" style="13" customWidth="1"/>
    <col min="9993" max="9993" width="14.09765625" style="13" bestFit="1" customWidth="1"/>
    <col min="9994" max="9994" width="11.19921875" style="13" bestFit="1" customWidth="1"/>
    <col min="9995" max="9996" width="21.5" style="13" bestFit="1" customWidth="1"/>
    <col min="9997" max="9997" width="19.5" style="13" bestFit="1" customWidth="1"/>
    <col min="9998" max="10240" width="8.19921875" style="13"/>
    <col min="10241" max="10241" width="53.8984375" style="13" customWidth="1"/>
    <col min="10242" max="10242" width="17.3984375" style="13" customWidth="1"/>
    <col min="10243" max="10243" width="16.796875" style="13" bestFit="1" customWidth="1"/>
    <col min="10244" max="10244" width="15.19921875" style="13" bestFit="1" customWidth="1"/>
    <col min="10245" max="10245" width="16.5" style="13" customWidth="1"/>
    <col min="10246" max="10246" width="16.796875" style="13" bestFit="1" customWidth="1"/>
    <col min="10247" max="10247" width="13.09765625" style="13" bestFit="1" customWidth="1"/>
    <col min="10248" max="10248" width="11.3984375" style="13" customWidth="1"/>
    <col min="10249" max="10249" width="14.09765625" style="13" bestFit="1" customWidth="1"/>
    <col min="10250" max="10250" width="11.19921875" style="13" bestFit="1" customWidth="1"/>
    <col min="10251" max="10252" width="21.5" style="13" bestFit="1" customWidth="1"/>
    <col min="10253" max="10253" width="19.5" style="13" bestFit="1" customWidth="1"/>
    <col min="10254" max="10496" width="8.19921875" style="13"/>
    <col min="10497" max="10497" width="53.8984375" style="13" customWidth="1"/>
    <col min="10498" max="10498" width="17.3984375" style="13" customWidth="1"/>
    <col min="10499" max="10499" width="16.796875" style="13" bestFit="1" customWidth="1"/>
    <col min="10500" max="10500" width="15.19921875" style="13" bestFit="1" customWidth="1"/>
    <col min="10501" max="10501" width="16.5" style="13" customWidth="1"/>
    <col min="10502" max="10502" width="16.796875" style="13" bestFit="1" customWidth="1"/>
    <col min="10503" max="10503" width="13.09765625" style="13" bestFit="1" customWidth="1"/>
    <col min="10504" max="10504" width="11.3984375" style="13" customWidth="1"/>
    <col min="10505" max="10505" width="14.09765625" style="13" bestFit="1" customWidth="1"/>
    <col min="10506" max="10506" width="11.19921875" style="13" bestFit="1" customWidth="1"/>
    <col min="10507" max="10508" width="21.5" style="13" bestFit="1" customWidth="1"/>
    <col min="10509" max="10509" width="19.5" style="13" bestFit="1" customWidth="1"/>
    <col min="10510" max="10752" width="8.19921875" style="13"/>
    <col min="10753" max="10753" width="53.8984375" style="13" customWidth="1"/>
    <col min="10754" max="10754" width="17.3984375" style="13" customWidth="1"/>
    <col min="10755" max="10755" width="16.796875" style="13" bestFit="1" customWidth="1"/>
    <col min="10756" max="10756" width="15.19921875" style="13" bestFit="1" customWidth="1"/>
    <col min="10757" max="10757" width="16.5" style="13" customWidth="1"/>
    <col min="10758" max="10758" width="16.796875" style="13" bestFit="1" customWidth="1"/>
    <col min="10759" max="10759" width="13.09765625" style="13" bestFit="1" customWidth="1"/>
    <col min="10760" max="10760" width="11.3984375" style="13" customWidth="1"/>
    <col min="10761" max="10761" width="14.09765625" style="13" bestFit="1" customWidth="1"/>
    <col min="10762" max="10762" width="11.19921875" style="13" bestFit="1" customWidth="1"/>
    <col min="10763" max="10764" width="21.5" style="13" bestFit="1" customWidth="1"/>
    <col min="10765" max="10765" width="19.5" style="13" bestFit="1" customWidth="1"/>
    <col min="10766" max="11008" width="8.19921875" style="13"/>
    <col min="11009" max="11009" width="53.8984375" style="13" customWidth="1"/>
    <col min="11010" max="11010" width="17.3984375" style="13" customWidth="1"/>
    <col min="11011" max="11011" width="16.796875" style="13" bestFit="1" customWidth="1"/>
    <col min="11012" max="11012" width="15.19921875" style="13" bestFit="1" customWidth="1"/>
    <col min="11013" max="11013" width="16.5" style="13" customWidth="1"/>
    <col min="11014" max="11014" width="16.796875" style="13" bestFit="1" customWidth="1"/>
    <col min="11015" max="11015" width="13.09765625" style="13" bestFit="1" customWidth="1"/>
    <col min="11016" max="11016" width="11.3984375" style="13" customWidth="1"/>
    <col min="11017" max="11017" width="14.09765625" style="13" bestFit="1" customWidth="1"/>
    <col min="11018" max="11018" width="11.19921875" style="13" bestFit="1" customWidth="1"/>
    <col min="11019" max="11020" width="21.5" style="13" bestFit="1" customWidth="1"/>
    <col min="11021" max="11021" width="19.5" style="13" bestFit="1" customWidth="1"/>
    <col min="11022" max="11264" width="8.19921875" style="13"/>
    <col min="11265" max="11265" width="53.8984375" style="13" customWidth="1"/>
    <col min="11266" max="11266" width="17.3984375" style="13" customWidth="1"/>
    <col min="11267" max="11267" width="16.796875" style="13" bestFit="1" customWidth="1"/>
    <col min="11268" max="11268" width="15.19921875" style="13" bestFit="1" customWidth="1"/>
    <col min="11269" max="11269" width="16.5" style="13" customWidth="1"/>
    <col min="11270" max="11270" width="16.796875" style="13" bestFit="1" customWidth="1"/>
    <col min="11271" max="11271" width="13.09765625" style="13" bestFit="1" customWidth="1"/>
    <col min="11272" max="11272" width="11.3984375" style="13" customWidth="1"/>
    <col min="11273" max="11273" width="14.09765625" style="13" bestFit="1" customWidth="1"/>
    <col min="11274" max="11274" width="11.19921875" style="13" bestFit="1" customWidth="1"/>
    <col min="11275" max="11276" width="21.5" style="13" bestFit="1" customWidth="1"/>
    <col min="11277" max="11277" width="19.5" style="13" bestFit="1" customWidth="1"/>
    <col min="11278" max="11520" width="8.19921875" style="13"/>
    <col min="11521" max="11521" width="53.8984375" style="13" customWidth="1"/>
    <col min="11522" max="11522" width="17.3984375" style="13" customWidth="1"/>
    <col min="11523" max="11523" width="16.796875" style="13" bestFit="1" customWidth="1"/>
    <col min="11524" max="11524" width="15.19921875" style="13" bestFit="1" customWidth="1"/>
    <col min="11525" max="11525" width="16.5" style="13" customWidth="1"/>
    <col min="11526" max="11526" width="16.796875" style="13" bestFit="1" customWidth="1"/>
    <col min="11527" max="11527" width="13.09765625" style="13" bestFit="1" customWidth="1"/>
    <col min="11528" max="11528" width="11.3984375" style="13" customWidth="1"/>
    <col min="11529" max="11529" width="14.09765625" style="13" bestFit="1" customWidth="1"/>
    <col min="11530" max="11530" width="11.19921875" style="13" bestFit="1" customWidth="1"/>
    <col min="11531" max="11532" width="21.5" style="13" bestFit="1" customWidth="1"/>
    <col min="11533" max="11533" width="19.5" style="13" bestFit="1" customWidth="1"/>
    <col min="11534" max="11776" width="8.19921875" style="13"/>
    <col min="11777" max="11777" width="53.8984375" style="13" customWidth="1"/>
    <col min="11778" max="11778" width="17.3984375" style="13" customWidth="1"/>
    <col min="11779" max="11779" width="16.796875" style="13" bestFit="1" customWidth="1"/>
    <col min="11780" max="11780" width="15.19921875" style="13" bestFit="1" customWidth="1"/>
    <col min="11781" max="11781" width="16.5" style="13" customWidth="1"/>
    <col min="11782" max="11782" width="16.796875" style="13" bestFit="1" customWidth="1"/>
    <col min="11783" max="11783" width="13.09765625" style="13" bestFit="1" customWidth="1"/>
    <col min="11784" max="11784" width="11.3984375" style="13" customWidth="1"/>
    <col min="11785" max="11785" width="14.09765625" style="13" bestFit="1" customWidth="1"/>
    <col min="11786" max="11786" width="11.19921875" style="13" bestFit="1" customWidth="1"/>
    <col min="11787" max="11788" width="21.5" style="13" bestFit="1" customWidth="1"/>
    <col min="11789" max="11789" width="19.5" style="13" bestFit="1" customWidth="1"/>
    <col min="11790" max="12032" width="8.19921875" style="13"/>
    <col min="12033" max="12033" width="53.8984375" style="13" customWidth="1"/>
    <col min="12034" max="12034" width="17.3984375" style="13" customWidth="1"/>
    <col min="12035" max="12035" width="16.796875" style="13" bestFit="1" customWidth="1"/>
    <col min="12036" max="12036" width="15.19921875" style="13" bestFit="1" customWidth="1"/>
    <col min="12037" max="12037" width="16.5" style="13" customWidth="1"/>
    <col min="12038" max="12038" width="16.796875" style="13" bestFit="1" customWidth="1"/>
    <col min="12039" max="12039" width="13.09765625" style="13" bestFit="1" customWidth="1"/>
    <col min="12040" max="12040" width="11.3984375" style="13" customWidth="1"/>
    <col min="12041" max="12041" width="14.09765625" style="13" bestFit="1" customWidth="1"/>
    <col min="12042" max="12042" width="11.19921875" style="13" bestFit="1" customWidth="1"/>
    <col min="12043" max="12044" width="21.5" style="13" bestFit="1" customWidth="1"/>
    <col min="12045" max="12045" width="19.5" style="13" bestFit="1" customWidth="1"/>
    <col min="12046" max="12288" width="8.19921875" style="13"/>
    <col min="12289" max="12289" width="53.8984375" style="13" customWidth="1"/>
    <col min="12290" max="12290" width="17.3984375" style="13" customWidth="1"/>
    <col min="12291" max="12291" width="16.796875" style="13" bestFit="1" customWidth="1"/>
    <col min="12292" max="12292" width="15.19921875" style="13" bestFit="1" customWidth="1"/>
    <col min="12293" max="12293" width="16.5" style="13" customWidth="1"/>
    <col min="12294" max="12294" width="16.796875" style="13" bestFit="1" customWidth="1"/>
    <col min="12295" max="12295" width="13.09765625" style="13" bestFit="1" customWidth="1"/>
    <col min="12296" max="12296" width="11.3984375" style="13" customWidth="1"/>
    <col min="12297" max="12297" width="14.09765625" style="13" bestFit="1" customWidth="1"/>
    <col min="12298" max="12298" width="11.19921875" style="13" bestFit="1" customWidth="1"/>
    <col min="12299" max="12300" width="21.5" style="13" bestFit="1" customWidth="1"/>
    <col min="12301" max="12301" width="19.5" style="13" bestFit="1" customWidth="1"/>
    <col min="12302" max="12544" width="8.19921875" style="13"/>
    <col min="12545" max="12545" width="53.8984375" style="13" customWidth="1"/>
    <col min="12546" max="12546" width="17.3984375" style="13" customWidth="1"/>
    <col min="12547" max="12547" width="16.796875" style="13" bestFit="1" customWidth="1"/>
    <col min="12548" max="12548" width="15.19921875" style="13" bestFit="1" customWidth="1"/>
    <col min="12549" max="12549" width="16.5" style="13" customWidth="1"/>
    <col min="12550" max="12550" width="16.796875" style="13" bestFit="1" customWidth="1"/>
    <col min="12551" max="12551" width="13.09765625" style="13" bestFit="1" customWidth="1"/>
    <col min="12552" max="12552" width="11.3984375" style="13" customWidth="1"/>
    <col min="12553" max="12553" width="14.09765625" style="13" bestFit="1" customWidth="1"/>
    <col min="12554" max="12554" width="11.19921875" style="13" bestFit="1" customWidth="1"/>
    <col min="12555" max="12556" width="21.5" style="13" bestFit="1" customWidth="1"/>
    <col min="12557" max="12557" width="19.5" style="13" bestFit="1" customWidth="1"/>
    <col min="12558" max="12800" width="8.19921875" style="13"/>
    <col min="12801" max="12801" width="53.8984375" style="13" customWidth="1"/>
    <col min="12802" max="12802" width="17.3984375" style="13" customWidth="1"/>
    <col min="12803" max="12803" width="16.796875" style="13" bestFit="1" customWidth="1"/>
    <col min="12804" max="12804" width="15.19921875" style="13" bestFit="1" customWidth="1"/>
    <col min="12805" max="12805" width="16.5" style="13" customWidth="1"/>
    <col min="12806" max="12806" width="16.796875" style="13" bestFit="1" customWidth="1"/>
    <col min="12807" max="12807" width="13.09765625" style="13" bestFit="1" customWidth="1"/>
    <col min="12808" max="12808" width="11.3984375" style="13" customWidth="1"/>
    <col min="12809" max="12809" width="14.09765625" style="13" bestFit="1" customWidth="1"/>
    <col min="12810" max="12810" width="11.19921875" style="13" bestFit="1" customWidth="1"/>
    <col min="12811" max="12812" width="21.5" style="13" bestFit="1" customWidth="1"/>
    <col min="12813" max="12813" width="19.5" style="13" bestFit="1" customWidth="1"/>
    <col min="12814" max="13056" width="8.19921875" style="13"/>
    <col min="13057" max="13057" width="53.8984375" style="13" customWidth="1"/>
    <col min="13058" max="13058" width="17.3984375" style="13" customWidth="1"/>
    <col min="13059" max="13059" width="16.796875" style="13" bestFit="1" customWidth="1"/>
    <col min="13060" max="13060" width="15.19921875" style="13" bestFit="1" customWidth="1"/>
    <col min="13061" max="13061" width="16.5" style="13" customWidth="1"/>
    <col min="13062" max="13062" width="16.796875" style="13" bestFit="1" customWidth="1"/>
    <col min="13063" max="13063" width="13.09765625" style="13" bestFit="1" customWidth="1"/>
    <col min="13064" max="13064" width="11.3984375" style="13" customWidth="1"/>
    <col min="13065" max="13065" width="14.09765625" style="13" bestFit="1" customWidth="1"/>
    <col min="13066" max="13066" width="11.19921875" style="13" bestFit="1" customWidth="1"/>
    <col min="13067" max="13068" width="21.5" style="13" bestFit="1" customWidth="1"/>
    <col min="13069" max="13069" width="19.5" style="13" bestFit="1" customWidth="1"/>
    <col min="13070" max="13312" width="8.19921875" style="13"/>
    <col min="13313" max="13313" width="53.8984375" style="13" customWidth="1"/>
    <col min="13314" max="13314" width="17.3984375" style="13" customWidth="1"/>
    <col min="13315" max="13315" width="16.796875" style="13" bestFit="1" customWidth="1"/>
    <col min="13316" max="13316" width="15.19921875" style="13" bestFit="1" customWidth="1"/>
    <col min="13317" max="13317" width="16.5" style="13" customWidth="1"/>
    <col min="13318" max="13318" width="16.796875" style="13" bestFit="1" customWidth="1"/>
    <col min="13319" max="13319" width="13.09765625" style="13" bestFit="1" customWidth="1"/>
    <col min="13320" max="13320" width="11.3984375" style="13" customWidth="1"/>
    <col min="13321" max="13321" width="14.09765625" style="13" bestFit="1" customWidth="1"/>
    <col min="13322" max="13322" width="11.19921875" style="13" bestFit="1" customWidth="1"/>
    <col min="13323" max="13324" width="21.5" style="13" bestFit="1" customWidth="1"/>
    <col min="13325" max="13325" width="19.5" style="13" bestFit="1" customWidth="1"/>
    <col min="13326" max="13568" width="8.19921875" style="13"/>
    <col min="13569" max="13569" width="53.8984375" style="13" customWidth="1"/>
    <col min="13570" max="13570" width="17.3984375" style="13" customWidth="1"/>
    <col min="13571" max="13571" width="16.796875" style="13" bestFit="1" customWidth="1"/>
    <col min="13572" max="13572" width="15.19921875" style="13" bestFit="1" customWidth="1"/>
    <col min="13573" max="13573" width="16.5" style="13" customWidth="1"/>
    <col min="13574" max="13574" width="16.796875" style="13" bestFit="1" customWidth="1"/>
    <col min="13575" max="13575" width="13.09765625" style="13" bestFit="1" customWidth="1"/>
    <col min="13576" max="13576" width="11.3984375" style="13" customWidth="1"/>
    <col min="13577" max="13577" width="14.09765625" style="13" bestFit="1" customWidth="1"/>
    <col min="13578" max="13578" width="11.19921875" style="13" bestFit="1" customWidth="1"/>
    <col min="13579" max="13580" width="21.5" style="13" bestFit="1" customWidth="1"/>
    <col min="13581" max="13581" width="19.5" style="13" bestFit="1" customWidth="1"/>
    <col min="13582" max="13824" width="8.19921875" style="13"/>
    <col min="13825" max="13825" width="53.8984375" style="13" customWidth="1"/>
    <col min="13826" max="13826" width="17.3984375" style="13" customWidth="1"/>
    <col min="13827" max="13827" width="16.796875" style="13" bestFit="1" customWidth="1"/>
    <col min="13828" max="13828" width="15.19921875" style="13" bestFit="1" customWidth="1"/>
    <col min="13829" max="13829" width="16.5" style="13" customWidth="1"/>
    <col min="13830" max="13830" width="16.796875" style="13" bestFit="1" customWidth="1"/>
    <col min="13831" max="13831" width="13.09765625" style="13" bestFit="1" customWidth="1"/>
    <col min="13832" max="13832" width="11.3984375" style="13" customWidth="1"/>
    <col min="13833" max="13833" width="14.09765625" style="13" bestFit="1" customWidth="1"/>
    <col min="13834" max="13834" width="11.19921875" style="13" bestFit="1" customWidth="1"/>
    <col min="13835" max="13836" width="21.5" style="13" bestFit="1" customWidth="1"/>
    <col min="13837" max="13837" width="19.5" style="13" bestFit="1" customWidth="1"/>
    <col min="13838" max="14080" width="8.19921875" style="13"/>
    <col min="14081" max="14081" width="53.8984375" style="13" customWidth="1"/>
    <col min="14082" max="14082" width="17.3984375" style="13" customWidth="1"/>
    <col min="14083" max="14083" width="16.796875" style="13" bestFit="1" customWidth="1"/>
    <col min="14084" max="14084" width="15.19921875" style="13" bestFit="1" customWidth="1"/>
    <col min="14085" max="14085" width="16.5" style="13" customWidth="1"/>
    <col min="14086" max="14086" width="16.796875" style="13" bestFit="1" customWidth="1"/>
    <col min="14087" max="14087" width="13.09765625" style="13" bestFit="1" customWidth="1"/>
    <col min="14088" max="14088" width="11.3984375" style="13" customWidth="1"/>
    <col min="14089" max="14089" width="14.09765625" style="13" bestFit="1" customWidth="1"/>
    <col min="14090" max="14090" width="11.19921875" style="13" bestFit="1" customWidth="1"/>
    <col min="14091" max="14092" width="21.5" style="13" bestFit="1" customWidth="1"/>
    <col min="14093" max="14093" width="19.5" style="13" bestFit="1" customWidth="1"/>
    <col min="14094" max="14336" width="8.19921875" style="13"/>
    <col min="14337" max="14337" width="53.8984375" style="13" customWidth="1"/>
    <col min="14338" max="14338" width="17.3984375" style="13" customWidth="1"/>
    <col min="14339" max="14339" width="16.796875" style="13" bestFit="1" customWidth="1"/>
    <col min="14340" max="14340" width="15.19921875" style="13" bestFit="1" customWidth="1"/>
    <col min="14341" max="14341" width="16.5" style="13" customWidth="1"/>
    <col min="14342" max="14342" width="16.796875" style="13" bestFit="1" customWidth="1"/>
    <col min="14343" max="14343" width="13.09765625" style="13" bestFit="1" customWidth="1"/>
    <col min="14344" max="14344" width="11.3984375" style="13" customWidth="1"/>
    <col min="14345" max="14345" width="14.09765625" style="13" bestFit="1" customWidth="1"/>
    <col min="14346" max="14346" width="11.19921875" style="13" bestFit="1" customWidth="1"/>
    <col min="14347" max="14348" width="21.5" style="13" bestFit="1" customWidth="1"/>
    <col min="14349" max="14349" width="19.5" style="13" bestFit="1" customWidth="1"/>
    <col min="14350" max="14592" width="8.19921875" style="13"/>
    <col min="14593" max="14593" width="53.8984375" style="13" customWidth="1"/>
    <col min="14594" max="14594" width="17.3984375" style="13" customWidth="1"/>
    <col min="14595" max="14595" width="16.796875" style="13" bestFit="1" customWidth="1"/>
    <col min="14596" max="14596" width="15.19921875" style="13" bestFit="1" customWidth="1"/>
    <col min="14597" max="14597" width="16.5" style="13" customWidth="1"/>
    <col min="14598" max="14598" width="16.796875" style="13" bestFit="1" customWidth="1"/>
    <col min="14599" max="14599" width="13.09765625" style="13" bestFit="1" customWidth="1"/>
    <col min="14600" max="14600" width="11.3984375" style="13" customWidth="1"/>
    <col min="14601" max="14601" width="14.09765625" style="13" bestFit="1" customWidth="1"/>
    <col min="14602" max="14602" width="11.19921875" style="13" bestFit="1" customWidth="1"/>
    <col min="14603" max="14604" width="21.5" style="13" bestFit="1" customWidth="1"/>
    <col min="14605" max="14605" width="19.5" style="13" bestFit="1" customWidth="1"/>
    <col min="14606" max="14848" width="8.19921875" style="13"/>
    <col min="14849" max="14849" width="53.8984375" style="13" customWidth="1"/>
    <col min="14850" max="14850" width="17.3984375" style="13" customWidth="1"/>
    <col min="14851" max="14851" width="16.796875" style="13" bestFit="1" customWidth="1"/>
    <col min="14852" max="14852" width="15.19921875" style="13" bestFit="1" customWidth="1"/>
    <col min="14853" max="14853" width="16.5" style="13" customWidth="1"/>
    <col min="14854" max="14854" width="16.796875" style="13" bestFit="1" customWidth="1"/>
    <col min="14855" max="14855" width="13.09765625" style="13" bestFit="1" customWidth="1"/>
    <col min="14856" max="14856" width="11.3984375" style="13" customWidth="1"/>
    <col min="14857" max="14857" width="14.09765625" style="13" bestFit="1" customWidth="1"/>
    <col min="14858" max="14858" width="11.19921875" style="13" bestFit="1" customWidth="1"/>
    <col min="14859" max="14860" width="21.5" style="13" bestFit="1" customWidth="1"/>
    <col min="14861" max="14861" width="19.5" style="13" bestFit="1" customWidth="1"/>
    <col min="14862" max="15104" width="8.19921875" style="13"/>
    <col min="15105" max="15105" width="53.8984375" style="13" customWidth="1"/>
    <col min="15106" max="15106" width="17.3984375" style="13" customWidth="1"/>
    <col min="15107" max="15107" width="16.796875" style="13" bestFit="1" customWidth="1"/>
    <col min="15108" max="15108" width="15.19921875" style="13" bestFit="1" customWidth="1"/>
    <col min="15109" max="15109" width="16.5" style="13" customWidth="1"/>
    <col min="15110" max="15110" width="16.796875" style="13" bestFit="1" customWidth="1"/>
    <col min="15111" max="15111" width="13.09765625" style="13" bestFit="1" customWidth="1"/>
    <col min="15112" max="15112" width="11.3984375" style="13" customWidth="1"/>
    <col min="15113" max="15113" width="14.09765625" style="13" bestFit="1" customWidth="1"/>
    <col min="15114" max="15114" width="11.19921875" style="13" bestFit="1" customWidth="1"/>
    <col min="15115" max="15116" width="21.5" style="13" bestFit="1" customWidth="1"/>
    <col min="15117" max="15117" width="19.5" style="13" bestFit="1" customWidth="1"/>
    <col min="15118" max="15360" width="8.19921875" style="13"/>
    <col min="15361" max="15361" width="53.8984375" style="13" customWidth="1"/>
    <col min="15362" max="15362" width="17.3984375" style="13" customWidth="1"/>
    <col min="15363" max="15363" width="16.796875" style="13" bestFit="1" customWidth="1"/>
    <col min="15364" max="15364" width="15.19921875" style="13" bestFit="1" customWidth="1"/>
    <col min="15365" max="15365" width="16.5" style="13" customWidth="1"/>
    <col min="15366" max="15366" width="16.796875" style="13" bestFit="1" customWidth="1"/>
    <col min="15367" max="15367" width="13.09765625" style="13" bestFit="1" customWidth="1"/>
    <col min="15368" max="15368" width="11.3984375" style="13" customWidth="1"/>
    <col min="15369" max="15369" width="14.09765625" style="13" bestFit="1" customWidth="1"/>
    <col min="15370" max="15370" width="11.19921875" style="13" bestFit="1" customWidth="1"/>
    <col min="15371" max="15372" width="21.5" style="13" bestFit="1" customWidth="1"/>
    <col min="15373" max="15373" width="19.5" style="13" bestFit="1" customWidth="1"/>
    <col min="15374" max="15616" width="8.19921875" style="13"/>
    <col min="15617" max="15617" width="53.8984375" style="13" customWidth="1"/>
    <col min="15618" max="15618" width="17.3984375" style="13" customWidth="1"/>
    <col min="15619" max="15619" width="16.796875" style="13" bestFit="1" customWidth="1"/>
    <col min="15620" max="15620" width="15.19921875" style="13" bestFit="1" customWidth="1"/>
    <col min="15621" max="15621" width="16.5" style="13" customWidth="1"/>
    <col min="15622" max="15622" width="16.796875" style="13" bestFit="1" customWidth="1"/>
    <col min="15623" max="15623" width="13.09765625" style="13" bestFit="1" customWidth="1"/>
    <col min="15624" max="15624" width="11.3984375" style="13" customWidth="1"/>
    <col min="15625" max="15625" width="14.09765625" style="13" bestFit="1" customWidth="1"/>
    <col min="15626" max="15626" width="11.19921875" style="13" bestFit="1" customWidth="1"/>
    <col min="15627" max="15628" width="21.5" style="13" bestFit="1" customWidth="1"/>
    <col min="15629" max="15629" width="19.5" style="13" bestFit="1" customWidth="1"/>
    <col min="15630" max="15872" width="8.19921875" style="13"/>
    <col min="15873" max="15873" width="53.8984375" style="13" customWidth="1"/>
    <col min="15874" max="15874" width="17.3984375" style="13" customWidth="1"/>
    <col min="15875" max="15875" width="16.796875" style="13" bestFit="1" customWidth="1"/>
    <col min="15876" max="15876" width="15.19921875" style="13" bestFit="1" customWidth="1"/>
    <col min="15877" max="15877" width="16.5" style="13" customWidth="1"/>
    <col min="15878" max="15878" width="16.796875" style="13" bestFit="1" customWidth="1"/>
    <col min="15879" max="15879" width="13.09765625" style="13" bestFit="1" customWidth="1"/>
    <col min="15880" max="15880" width="11.3984375" style="13" customWidth="1"/>
    <col min="15881" max="15881" width="14.09765625" style="13" bestFit="1" customWidth="1"/>
    <col min="15882" max="15882" width="11.19921875" style="13" bestFit="1" customWidth="1"/>
    <col min="15883" max="15884" width="21.5" style="13" bestFit="1" customWidth="1"/>
    <col min="15885" max="15885" width="19.5" style="13" bestFit="1" customWidth="1"/>
    <col min="15886" max="16128" width="8.19921875" style="13"/>
    <col min="16129" max="16129" width="53.8984375" style="13" customWidth="1"/>
    <col min="16130" max="16130" width="17.3984375" style="13" customWidth="1"/>
    <col min="16131" max="16131" width="16.796875" style="13" bestFit="1" customWidth="1"/>
    <col min="16132" max="16132" width="15.19921875" style="13" bestFit="1" customWidth="1"/>
    <col min="16133" max="16133" width="16.5" style="13" customWidth="1"/>
    <col min="16134" max="16134" width="16.796875" style="13" bestFit="1" customWidth="1"/>
    <col min="16135" max="16135" width="13.09765625" style="13" bestFit="1" customWidth="1"/>
    <col min="16136" max="16136" width="11.3984375" style="13" customWidth="1"/>
    <col min="16137" max="16137" width="14.09765625" style="13" bestFit="1" customWidth="1"/>
    <col min="16138" max="16138" width="11.19921875" style="13" bestFit="1" customWidth="1"/>
    <col min="16139" max="16140" width="21.5" style="13" bestFit="1" customWidth="1"/>
    <col min="16141" max="16141" width="19.5" style="13" bestFit="1" customWidth="1"/>
    <col min="16142" max="16384" width="8.19921875" style="13"/>
  </cols>
  <sheetData>
    <row r="1" spans="1:13" s="33" customFormat="1" ht="21" customHeight="1" x14ac:dyDescent="0.45">
      <c r="A1" s="563" t="s">
        <v>6</v>
      </c>
      <c r="B1" s="563"/>
      <c r="C1" s="563"/>
      <c r="D1" s="563"/>
      <c r="E1" s="563"/>
      <c r="F1" s="563"/>
      <c r="G1" s="563"/>
      <c r="H1" s="563"/>
      <c r="I1" s="563"/>
    </row>
    <row r="2" spans="1:13" s="33" customFormat="1" ht="21" customHeight="1" x14ac:dyDescent="0.45">
      <c r="A2" s="563" t="s">
        <v>0</v>
      </c>
      <c r="B2" s="563"/>
      <c r="C2" s="563"/>
      <c r="D2" s="563"/>
      <c r="E2" s="563"/>
      <c r="F2" s="563"/>
      <c r="G2" s="563"/>
      <c r="H2" s="563"/>
      <c r="I2" s="563"/>
    </row>
    <row r="3" spans="1:13" s="33" customFormat="1" ht="21" customHeight="1" x14ac:dyDescent="0.45">
      <c r="A3" s="563" t="s">
        <v>39</v>
      </c>
      <c r="B3" s="563"/>
      <c r="C3" s="563"/>
      <c r="D3" s="563"/>
      <c r="E3" s="563"/>
      <c r="F3" s="563"/>
      <c r="G3" s="563"/>
      <c r="H3" s="563"/>
      <c r="I3" s="563"/>
    </row>
    <row r="4" spans="1:13" s="3" customFormat="1" ht="21" customHeight="1" x14ac:dyDescent="0.45">
      <c r="A4" s="108" t="s">
        <v>125</v>
      </c>
      <c r="D4" s="25"/>
      <c r="E4" s="137"/>
      <c r="G4" s="109"/>
    </row>
    <row r="5" spans="1:13" s="25" customFormat="1" ht="21" customHeight="1" x14ac:dyDescent="0.4">
      <c r="A5" s="110"/>
      <c r="G5" s="111"/>
      <c r="I5" s="112" t="s">
        <v>42</v>
      </c>
    </row>
    <row r="6" spans="1:13" s="113" customFormat="1" ht="21" customHeight="1" x14ac:dyDescent="0.4">
      <c r="A6" s="564" t="s">
        <v>126</v>
      </c>
      <c r="B6" s="564" t="s">
        <v>2</v>
      </c>
      <c r="C6" s="564" t="s">
        <v>3</v>
      </c>
      <c r="D6" s="564" t="s">
        <v>4</v>
      </c>
      <c r="E6" s="564" t="s">
        <v>92</v>
      </c>
      <c r="F6" s="564" t="s">
        <v>93</v>
      </c>
      <c r="G6" s="566" t="s">
        <v>94</v>
      </c>
      <c r="H6" s="564" t="s">
        <v>95</v>
      </c>
      <c r="I6" s="564" t="s">
        <v>96</v>
      </c>
    </row>
    <row r="7" spans="1:13" s="25" customFormat="1" ht="21" customHeight="1" x14ac:dyDescent="0.4">
      <c r="A7" s="565"/>
      <c r="B7" s="565"/>
      <c r="C7" s="565"/>
      <c r="D7" s="565"/>
      <c r="E7" s="565"/>
      <c r="F7" s="565"/>
      <c r="G7" s="565"/>
      <c r="H7" s="565"/>
      <c r="I7" s="565"/>
    </row>
    <row r="8" spans="1:13" s="25" customFormat="1" ht="21" customHeight="1" x14ac:dyDescent="0.4">
      <c r="A8" s="106" t="s">
        <v>301</v>
      </c>
      <c r="B8" s="114">
        <f>2548604910.44*0.49/100</f>
        <v>12488164.061156001</v>
      </c>
      <c r="C8" s="114">
        <f>5263197.2*0.49/100</f>
        <v>25789.666280000001</v>
      </c>
      <c r="D8" s="114">
        <f>97396995.42*0.49/100</f>
        <v>477245.277558</v>
      </c>
      <c r="E8" s="114">
        <f>297148778.59*0.49/100</f>
        <v>1456029.0150909999</v>
      </c>
      <c r="F8" s="114">
        <f>SUM(B8:E8)</f>
        <v>14447228.020085001</v>
      </c>
      <c r="G8" s="115">
        <v>600</v>
      </c>
      <c r="H8" s="116" t="s">
        <v>100</v>
      </c>
      <c r="I8" s="117">
        <f t="shared" ref="I8:I37" si="0">+F8/G8</f>
        <v>24078.713366808337</v>
      </c>
    </row>
    <row r="9" spans="1:13" s="25" customFormat="1" ht="21" customHeight="1" x14ac:dyDescent="0.4">
      <c r="A9" s="72" t="s">
        <v>300</v>
      </c>
      <c r="B9" s="114">
        <f>2548604910.44*0.16/100</f>
        <v>4077767.8567040004</v>
      </c>
      <c r="C9" s="114">
        <f>5263197.2*0.16/100</f>
        <v>8421.1155199999994</v>
      </c>
      <c r="D9" s="114">
        <f>97396995.42*0.16/100</f>
        <v>155835.192672</v>
      </c>
      <c r="E9" s="114">
        <f>297148778.59*0.16/100</f>
        <v>475438.045744</v>
      </c>
      <c r="F9" s="114">
        <f t="shared" ref="F9:F37" si="1">SUM(B9:E9)</f>
        <v>4717462.2106400002</v>
      </c>
      <c r="G9" s="118">
        <v>200</v>
      </c>
      <c r="H9" s="119" t="s">
        <v>100</v>
      </c>
      <c r="I9" s="117">
        <f t="shared" si="0"/>
        <v>23587.311053199999</v>
      </c>
    </row>
    <row r="10" spans="1:13" s="25" customFormat="1" ht="21" customHeight="1" x14ac:dyDescent="0.4">
      <c r="A10" s="106" t="s">
        <v>198</v>
      </c>
      <c r="B10" s="114">
        <f>2548604910.44*15.45/100</f>
        <v>393759458.66297996</v>
      </c>
      <c r="C10" s="114">
        <f>5263197.2*15.45/100</f>
        <v>813163.96739999996</v>
      </c>
      <c r="D10" s="114">
        <f>97396995.42*15.45/100</f>
        <v>15047835.792389998</v>
      </c>
      <c r="E10" s="114">
        <f>297148778.59*15.45/100</f>
        <v>45909486.29215499</v>
      </c>
      <c r="F10" s="114">
        <f t="shared" si="1"/>
        <v>455529944.71492493</v>
      </c>
      <c r="G10" s="115">
        <v>103461</v>
      </c>
      <c r="H10" s="116" t="s">
        <v>100</v>
      </c>
      <c r="I10" s="117">
        <f t="shared" si="0"/>
        <v>4402.9145737517028</v>
      </c>
    </row>
    <row r="11" spans="1:13" s="25" customFormat="1" ht="21" customHeight="1" x14ac:dyDescent="0.4">
      <c r="A11" s="106" t="s">
        <v>199</v>
      </c>
      <c r="B11" s="114">
        <f>2548604910.44*1.92/100</f>
        <v>48933214.280447997</v>
      </c>
      <c r="C11" s="114">
        <f>5263197.2*1.92/100</f>
        <v>101053.38623999999</v>
      </c>
      <c r="D11" s="114">
        <f>97396995.42*1.92/100</f>
        <v>1870022.3120640002</v>
      </c>
      <c r="E11" s="114">
        <f>297148778.59*1.92/100</f>
        <v>5705256.548928</v>
      </c>
      <c r="F11" s="114">
        <f t="shared" si="1"/>
        <v>56609546.527679995</v>
      </c>
      <c r="G11" s="120">
        <v>14136</v>
      </c>
      <c r="H11" s="116" t="s">
        <v>100</v>
      </c>
      <c r="I11" s="117">
        <f t="shared" si="0"/>
        <v>4004.6368511375208</v>
      </c>
    </row>
    <row r="12" spans="1:13" ht="21" customHeight="1" x14ac:dyDescent="0.4">
      <c r="A12" s="106" t="s">
        <v>200</v>
      </c>
      <c r="B12" s="114">
        <f>2548604910.44*6.24/100</f>
        <v>159032946.41145602</v>
      </c>
      <c r="C12" s="114">
        <f>5263197.2*6.24/100</f>
        <v>328423.50527999998</v>
      </c>
      <c r="D12" s="114">
        <f>97396995.42*6.24/100</f>
        <v>6077572.5142080011</v>
      </c>
      <c r="E12" s="114">
        <f>297148778.59*6.24/100</f>
        <v>18542083.784015998</v>
      </c>
      <c r="F12" s="114">
        <f t="shared" si="1"/>
        <v>183981026.21495998</v>
      </c>
      <c r="G12" s="120">
        <v>10939</v>
      </c>
      <c r="H12" s="116" t="s">
        <v>100</v>
      </c>
      <c r="I12" s="117">
        <f t="shared" si="0"/>
        <v>16818.815816341528</v>
      </c>
      <c r="M12" s="25"/>
    </row>
    <row r="13" spans="1:13" ht="22.8" customHeight="1" x14ac:dyDescent="0.4">
      <c r="A13" s="147" t="s">
        <v>201</v>
      </c>
      <c r="B13" s="130">
        <f>2548604910.44*0.03/100</f>
        <v>764581.47313199996</v>
      </c>
      <c r="C13" s="130">
        <f>5263197.2*0.03/100</f>
        <v>1578.9591599999999</v>
      </c>
      <c r="D13" s="130">
        <f>97396995.42*0.03/100</f>
        <v>29219.098626000003</v>
      </c>
      <c r="E13" s="130">
        <f>297148778.59*0.03/100</f>
        <v>89144.633577000001</v>
      </c>
      <c r="F13" s="130">
        <f t="shared" si="1"/>
        <v>884524.16449499992</v>
      </c>
      <c r="G13" s="134">
        <v>60</v>
      </c>
      <c r="H13" s="135" t="s">
        <v>101</v>
      </c>
      <c r="I13" s="136">
        <f t="shared" si="0"/>
        <v>14742.069408249999</v>
      </c>
      <c r="M13" s="25"/>
    </row>
    <row r="14" spans="1:13" ht="15.6" customHeight="1" x14ac:dyDescent="0.4">
      <c r="A14" s="146" t="s">
        <v>113</v>
      </c>
      <c r="B14" s="129"/>
      <c r="C14" s="129"/>
      <c r="D14" s="129"/>
      <c r="E14" s="129"/>
      <c r="F14" s="129">
        <f t="shared" si="1"/>
        <v>0</v>
      </c>
      <c r="G14" s="131"/>
      <c r="H14" s="132"/>
      <c r="I14" s="133"/>
      <c r="M14" s="25"/>
    </row>
    <row r="15" spans="1:13" ht="23.4" customHeight="1" x14ac:dyDescent="0.4">
      <c r="A15" s="145" t="s">
        <v>302</v>
      </c>
      <c r="B15" s="114">
        <f>2548604910.44*0.25/100</f>
        <v>6371512.2761000004</v>
      </c>
      <c r="C15" s="114">
        <f>5263197.2*0.25/100</f>
        <v>13157.993</v>
      </c>
      <c r="D15" s="114">
        <f>97396995.42*0.25/100</f>
        <v>243492.48855000001</v>
      </c>
      <c r="E15" s="114">
        <f>297148778.59*0.25/100</f>
        <v>742871.94647499989</v>
      </c>
      <c r="F15" s="114">
        <f t="shared" si="1"/>
        <v>7371034.7041250002</v>
      </c>
      <c r="G15" s="120">
        <v>10</v>
      </c>
      <c r="H15" s="116" t="s">
        <v>102</v>
      </c>
      <c r="I15" s="117">
        <f t="shared" si="0"/>
        <v>737103.47041249997</v>
      </c>
    </row>
    <row r="16" spans="1:13" s="27" customFormat="1" ht="21" customHeight="1" x14ac:dyDescent="0.4">
      <c r="A16" s="72" t="s">
        <v>202</v>
      </c>
      <c r="B16" s="114">
        <f>2548604910.44*2.46/100</f>
        <v>62695680.796824001</v>
      </c>
      <c r="C16" s="114">
        <f>5263197.2*2.46/100</f>
        <v>129474.65111999999</v>
      </c>
      <c r="D16" s="114">
        <f>97396995.42*2.46/100</f>
        <v>2395966.087332</v>
      </c>
      <c r="E16" s="114">
        <f>297148778.59*2.46/100</f>
        <v>7309859.9533139989</v>
      </c>
      <c r="F16" s="114">
        <f t="shared" si="1"/>
        <v>72530981.488590002</v>
      </c>
      <c r="G16" s="120">
        <v>12479</v>
      </c>
      <c r="H16" s="116" t="s">
        <v>100</v>
      </c>
      <c r="I16" s="117">
        <f t="shared" si="0"/>
        <v>5812.2430874741567</v>
      </c>
      <c r="J16" s="13"/>
      <c r="K16" s="13"/>
      <c r="L16" s="13"/>
      <c r="M16" s="13"/>
    </row>
    <row r="17" spans="1:13" s="27" customFormat="1" ht="21" customHeight="1" x14ac:dyDescent="0.4">
      <c r="A17" s="106" t="s">
        <v>299</v>
      </c>
      <c r="B17" s="114">
        <f>2548604910.44*1.82/100</f>
        <v>46384609.370007999</v>
      </c>
      <c r="C17" s="114">
        <f>5263197.2*1.82/100</f>
        <v>95790.189040000012</v>
      </c>
      <c r="D17" s="114">
        <f>97396995.42*1.82/100</f>
        <v>1772625.3166440001</v>
      </c>
      <c r="E17" s="114">
        <f>297148778.59*1.82/100</f>
        <v>5408107.7703379998</v>
      </c>
      <c r="F17" s="114">
        <f t="shared" si="1"/>
        <v>53661132.646029994</v>
      </c>
      <c r="G17" s="120">
        <v>11869</v>
      </c>
      <c r="H17" s="116" t="s">
        <v>100</v>
      </c>
      <c r="I17" s="117">
        <f t="shared" si="0"/>
        <v>4521.1165764622119</v>
      </c>
      <c r="J17" s="13"/>
      <c r="K17" s="13"/>
      <c r="L17" s="13"/>
      <c r="M17" s="13"/>
    </row>
    <row r="18" spans="1:13" s="27" customFormat="1" ht="22.2" customHeight="1" x14ac:dyDescent="0.4">
      <c r="A18" s="106" t="s">
        <v>303</v>
      </c>
      <c r="B18" s="114">
        <f>2548604910.44*0.05/100</f>
        <v>1274302.4552200001</v>
      </c>
      <c r="C18" s="114">
        <f>5263197.2*0.05/100</f>
        <v>2631.5986000000003</v>
      </c>
      <c r="D18" s="114">
        <f>97396995.42*0.05/100</f>
        <v>48698.497710000003</v>
      </c>
      <c r="E18" s="114">
        <f>297148778.59*0.05/100</f>
        <v>148574.389295</v>
      </c>
      <c r="F18" s="114">
        <f t="shared" si="1"/>
        <v>1474206.9408249999</v>
      </c>
      <c r="G18" s="120">
        <v>3</v>
      </c>
      <c r="H18" s="116" t="s">
        <v>104</v>
      </c>
      <c r="I18" s="117">
        <f t="shared" si="0"/>
        <v>491402.31360833329</v>
      </c>
      <c r="J18" s="13"/>
      <c r="K18" s="13"/>
      <c r="L18" s="13"/>
      <c r="M18" s="13"/>
    </row>
    <row r="19" spans="1:13" s="27" customFormat="1" ht="37.200000000000003" customHeight="1" x14ac:dyDescent="0.4">
      <c r="A19" s="149" t="s">
        <v>304</v>
      </c>
      <c r="B19" s="114">
        <f>2548604910.44*0.35/100</f>
        <v>8920117.1865400001</v>
      </c>
      <c r="C19" s="114">
        <f>5263197.2*0.35/100</f>
        <v>18421.190200000001</v>
      </c>
      <c r="D19" s="114">
        <f>97396995.42*0.35/100</f>
        <v>340889.48397</v>
      </c>
      <c r="E19" s="114">
        <f>297148778.59*0.35/100</f>
        <v>1040020.7250649999</v>
      </c>
      <c r="F19" s="114">
        <f t="shared" si="1"/>
        <v>10319448.585774999</v>
      </c>
      <c r="G19" s="170">
        <v>25924</v>
      </c>
      <c r="H19" s="171" t="s">
        <v>100</v>
      </c>
      <c r="I19" s="117">
        <f t="shared" si="0"/>
        <v>398.06544459863443</v>
      </c>
      <c r="J19" s="13"/>
      <c r="K19" s="13"/>
      <c r="L19" s="13"/>
      <c r="M19" s="13"/>
    </row>
    <row r="20" spans="1:13" s="27" customFormat="1" ht="21" customHeight="1" x14ac:dyDescent="0.4">
      <c r="A20" s="106" t="s">
        <v>298</v>
      </c>
      <c r="B20" s="114">
        <f>2548604910.44*0.54/100</f>
        <v>13762466.516376002</v>
      </c>
      <c r="C20" s="114">
        <f>5263197.2*0.54/100</f>
        <v>28421.264880000002</v>
      </c>
      <c r="D20" s="114">
        <f>97396995.42*0.54/100</f>
        <v>525943.77526800008</v>
      </c>
      <c r="E20" s="114">
        <f>297148778.59*0.54/100</f>
        <v>1604603.404386</v>
      </c>
      <c r="F20" s="114">
        <f t="shared" si="1"/>
        <v>15921434.960910002</v>
      </c>
      <c r="G20" s="120">
        <v>4063</v>
      </c>
      <c r="H20" s="116" t="s">
        <v>100</v>
      </c>
      <c r="I20" s="117">
        <f t="shared" si="0"/>
        <v>3918.6401577430474</v>
      </c>
      <c r="J20" s="13"/>
      <c r="K20" s="13"/>
      <c r="L20" s="13"/>
      <c r="M20" s="13"/>
    </row>
    <row r="21" spans="1:13" s="27" customFormat="1" ht="21" customHeight="1" x14ac:dyDescent="0.4">
      <c r="A21" s="106" t="s">
        <v>205</v>
      </c>
      <c r="B21" s="114">
        <f>2548604910.44*8.02/100</f>
        <v>204398113.81728798</v>
      </c>
      <c r="C21" s="114">
        <f>5263197.2*8.02/100</f>
        <v>422108.41544000001</v>
      </c>
      <c r="D21" s="114">
        <f>97396995.42*8.02/100</f>
        <v>7811239.0326839993</v>
      </c>
      <c r="E21" s="114">
        <f>297148778.59*8.02/100</f>
        <v>23831332.042917997</v>
      </c>
      <c r="F21" s="114">
        <f t="shared" si="1"/>
        <v>236462793.30832997</v>
      </c>
      <c r="G21" s="120">
        <v>36832</v>
      </c>
      <c r="H21" s="116" t="s">
        <v>100</v>
      </c>
      <c r="I21" s="117">
        <f t="shared" si="0"/>
        <v>6420.0367427326773</v>
      </c>
      <c r="J21" s="13"/>
      <c r="K21" s="13"/>
      <c r="L21" s="13"/>
      <c r="M21" s="13"/>
    </row>
    <row r="22" spans="1:13" s="27" customFormat="1" ht="21" customHeight="1" x14ac:dyDescent="0.4">
      <c r="A22" s="72" t="s">
        <v>206</v>
      </c>
      <c r="B22" s="114">
        <f>2548604910.44*0.13/100</f>
        <v>3313186.3835720001</v>
      </c>
      <c r="C22" s="114">
        <f>5263197.2*0.13/100</f>
        <v>6842.1563600000009</v>
      </c>
      <c r="D22" s="114">
        <f>97396995.42*0.13/100</f>
        <v>126616.094046</v>
      </c>
      <c r="E22" s="114">
        <f>297148778.59*0.13/100</f>
        <v>386293.41216699994</v>
      </c>
      <c r="F22" s="114">
        <f t="shared" si="1"/>
        <v>3832938.046145</v>
      </c>
      <c r="G22" s="120">
        <v>129</v>
      </c>
      <c r="H22" s="116" t="s">
        <v>99</v>
      </c>
      <c r="I22" s="117">
        <f t="shared" si="0"/>
        <v>29712.698032131782</v>
      </c>
      <c r="J22" s="13"/>
      <c r="K22" s="13"/>
      <c r="L22" s="13"/>
      <c r="M22" s="13"/>
    </row>
    <row r="23" spans="1:13" s="27" customFormat="1" ht="25.2" customHeight="1" x14ac:dyDescent="0.4">
      <c r="A23" s="106" t="s">
        <v>297</v>
      </c>
      <c r="B23" s="114">
        <f>2548604910.44*0.63/100</f>
        <v>16056210.935772</v>
      </c>
      <c r="C23" s="114">
        <f>5263197.2*0.63/100</f>
        <v>33158.142359999998</v>
      </c>
      <c r="D23" s="114">
        <f>97396995.42*0.63/100</f>
        <v>613601.07114600006</v>
      </c>
      <c r="E23" s="114">
        <f>297148778.59*0.63/100</f>
        <v>1872037.3051169997</v>
      </c>
      <c r="F23" s="114">
        <f t="shared" si="1"/>
        <v>18575007.454395</v>
      </c>
      <c r="G23" s="120">
        <v>5071</v>
      </c>
      <c r="H23" s="116" t="s">
        <v>100</v>
      </c>
      <c r="I23" s="117">
        <f t="shared" si="0"/>
        <v>3662.9870744222048</v>
      </c>
      <c r="J23" s="13"/>
      <c r="K23" s="13"/>
      <c r="L23" s="13"/>
      <c r="M23" s="13"/>
    </row>
    <row r="24" spans="1:13" s="27" customFormat="1" ht="24.6" customHeight="1" x14ac:dyDescent="0.4">
      <c r="A24" s="72" t="s">
        <v>120</v>
      </c>
      <c r="B24" s="114">
        <f>2548604910.44*0.26/100</f>
        <v>6626372.7671440002</v>
      </c>
      <c r="C24" s="114">
        <f>5263197.2*0.26/100</f>
        <v>13684.312720000002</v>
      </c>
      <c r="D24" s="114">
        <f>97396995.42*0.26/100</f>
        <v>253232.188092</v>
      </c>
      <c r="E24" s="114">
        <f>297148778.59*0.26/100</f>
        <v>772586.82433399989</v>
      </c>
      <c r="F24" s="114">
        <f t="shared" si="1"/>
        <v>7665876.0922900001</v>
      </c>
      <c r="G24" s="120">
        <v>246</v>
      </c>
      <c r="H24" s="116" t="s">
        <v>100</v>
      </c>
      <c r="I24" s="117">
        <f t="shared" si="0"/>
        <v>31162.097936138212</v>
      </c>
      <c r="J24" s="13"/>
      <c r="K24" s="13"/>
      <c r="L24" s="13"/>
      <c r="M24" s="13"/>
    </row>
    <row r="25" spans="1:13" s="27" customFormat="1" ht="21" customHeight="1" x14ac:dyDescent="0.4">
      <c r="A25" s="72" t="s">
        <v>208</v>
      </c>
      <c r="B25" s="114">
        <f>2548604910.44*1.08/100</f>
        <v>27524933.032752004</v>
      </c>
      <c r="C25" s="114">
        <f>5263197.2*1.08/100</f>
        <v>56842.529760000005</v>
      </c>
      <c r="D25" s="114">
        <f>97396995.42*1.08/100</f>
        <v>1051887.5505360002</v>
      </c>
      <c r="E25" s="114">
        <f>297148778.59*1.08/100</f>
        <v>3209206.808772</v>
      </c>
      <c r="F25" s="114">
        <f t="shared" si="1"/>
        <v>31842869.921820004</v>
      </c>
      <c r="G25" s="120">
        <v>2003</v>
      </c>
      <c r="H25" s="116" t="s">
        <v>100</v>
      </c>
      <c r="I25" s="117">
        <f t="shared" si="0"/>
        <v>15897.588578042938</v>
      </c>
      <c r="J25" s="13"/>
      <c r="K25" s="13"/>
      <c r="L25" s="13"/>
      <c r="M25" s="13"/>
    </row>
    <row r="26" spans="1:13" s="27" customFormat="1" ht="21" hidden="1" customHeight="1" x14ac:dyDescent="0.4">
      <c r="A26" s="107" t="s">
        <v>296</v>
      </c>
      <c r="B26" s="114"/>
      <c r="C26" s="114"/>
      <c r="D26" s="114"/>
      <c r="E26" s="114"/>
      <c r="F26" s="114">
        <f t="shared" si="1"/>
        <v>0</v>
      </c>
      <c r="G26" s="120"/>
      <c r="H26" s="116"/>
      <c r="I26" s="117"/>
      <c r="J26" s="13"/>
      <c r="K26" s="13"/>
      <c r="L26" s="13"/>
      <c r="M26" s="13"/>
    </row>
    <row r="27" spans="1:13" s="27" customFormat="1" ht="21" customHeight="1" x14ac:dyDescent="0.4">
      <c r="A27" s="72" t="s">
        <v>346</v>
      </c>
      <c r="B27" s="114">
        <f>2548604910.44*1.43/100</f>
        <v>36445050.219292</v>
      </c>
      <c r="C27" s="114">
        <f>5263197.2*1.43/100</f>
        <v>75263.719960000002</v>
      </c>
      <c r="D27" s="114">
        <f>97396995.42*1.43/100</f>
        <v>1392777.0345059999</v>
      </c>
      <c r="E27" s="114">
        <f>297148778.59*1.43/100</f>
        <v>4249227.5338369999</v>
      </c>
      <c r="F27" s="114">
        <f t="shared" si="1"/>
        <v>42162318.507594995</v>
      </c>
      <c r="G27" s="120">
        <v>35</v>
      </c>
      <c r="H27" s="116" t="s">
        <v>101</v>
      </c>
      <c r="I27" s="117">
        <f t="shared" si="0"/>
        <v>1204637.6716455712</v>
      </c>
      <c r="J27" s="13"/>
      <c r="K27" s="13"/>
      <c r="L27" s="13"/>
      <c r="M27" s="13"/>
    </row>
    <row r="28" spans="1:13" s="27" customFormat="1" ht="21" customHeight="1" x14ac:dyDescent="0.4">
      <c r="A28" s="106" t="s">
        <v>347</v>
      </c>
      <c r="B28" s="114">
        <f>2548604910.44*14.92/100</f>
        <v>380251852.63764799</v>
      </c>
      <c r="C28" s="114">
        <f>5263197.2*14.92/100</f>
        <v>785269.02224000008</v>
      </c>
      <c r="D28" s="114">
        <f>97396995.42*14.92/100</f>
        <v>14531631.716663999</v>
      </c>
      <c r="E28" s="114">
        <f>297148778.59*14.92/100</f>
        <v>44334597.765627995</v>
      </c>
      <c r="F28" s="114">
        <f t="shared" si="1"/>
        <v>439903351.14217997</v>
      </c>
      <c r="G28" s="120">
        <v>4391901</v>
      </c>
      <c r="H28" s="116" t="s">
        <v>100</v>
      </c>
      <c r="I28" s="117">
        <f t="shared" si="0"/>
        <v>100.16240146173148</v>
      </c>
      <c r="J28" s="13"/>
      <c r="K28" s="13"/>
      <c r="L28" s="13"/>
      <c r="M28" s="13"/>
    </row>
    <row r="29" spans="1:13" s="27" customFormat="1" ht="21" customHeight="1" x14ac:dyDescent="0.4">
      <c r="A29" s="106" t="s">
        <v>348</v>
      </c>
      <c r="B29" s="114">
        <f>2548604910.44*4.42/100</f>
        <v>112648337.041448</v>
      </c>
      <c r="C29" s="114">
        <f>5263197.2*4.42/100</f>
        <v>232633.31624000001</v>
      </c>
      <c r="D29" s="114">
        <f>97396995.42*4.42/100</f>
        <v>4304947.1975640003</v>
      </c>
      <c r="E29" s="114">
        <f>297148778.59*4.42/100</f>
        <v>13133976.013677998</v>
      </c>
      <c r="F29" s="114">
        <f t="shared" si="1"/>
        <v>130319893.56893</v>
      </c>
      <c r="G29" s="120">
        <v>21</v>
      </c>
      <c r="H29" s="116" t="s">
        <v>102</v>
      </c>
      <c r="I29" s="117">
        <f t="shared" si="0"/>
        <v>6205709.2175680948</v>
      </c>
      <c r="J29" s="13"/>
      <c r="K29" s="13"/>
      <c r="L29" s="13"/>
      <c r="M29" s="13"/>
    </row>
    <row r="30" spans="1:13" s="27" customFormat="1" ht="21" customHeight="1" x14ac:dyDescent="0.4">
      <c r="A30" s="72" t="s">
        <v>349</v>
      </c>
      <c r="B30" s="114">
        <f>2548604910.44*0.13/100</f>
        <v>3313186.3835720001</v>
      </c>
      <c r="C30" s="114">
        <f>5263197.2*0.13/100</f>
        <v>6842.1563600000009</v>
      </c>
      <c r="D30" s="114">
        <f>97396995.42*0.13/100</f>
        <v>126616.094046</v>
      </c>
      <c r="E30" s="114">
        <f>297148778.59*0.13/100</f>
        <v>386293.41216699994</v>
      </c>
      <c r="F30" s="114">
        <f t="shared" si="1"/>
        <v>3832938.046145</v>
      </c>
      <c r="G30" s="120">
        <v>114</v>
      </c>
      <c r="H30" s="116" t="s">
        <v>100</v>
      </c>
      <c r="I30" s="117">
        <f t="shared" si="0"/>
        <v>33622.263562675442</v>
      </c>
      <c r="J30" s="13"/>
      <c r="K30" s="13"/>
      <c r="L30" s="13"/>
      <c r="M30" s="13"/>
    </row>
    <row r="31" spans="1:13" s="27" customFormat="1" ht="35.4" customHeight="1" x14ac:dyDescent="0.4">
      <c r="A31" s="106" t="s">
        <v>350</v>
      </c>
      <c r="B31" s="114">
        <f>2548604910.44*0.6/100</f>
        <v>15291629.462639999</v>
      </c>
      <c r="C31" s="114">
        <f>5263197.2*0.6/100</f>
        <v>31579.183199999999</v>
      </c>
      <c r="D31" s="114">
        <f>97396995.42*0.6/100</f>
        <v>584381.97251999995</v>
      </c>
      <c r="E31" s="114">
        <f>297148778.59*0.6/100</f>
        <v>1782892.6715399998</v>
      </c>
      <c r="F31" s="114">
        <f t="shared" si="1"/>
        <v>17690483.289899997</v>
      </c>
      <c r="G31" s="120">
        <v>5</v>
      </c>
      <c r="H31" s="116" t="s">
        <v>105</v>
      </c>
      <c r="I31" s="117">
        <f t="shared" si="0"/>
        <v>3538096.6579799997</v>
      </c>
      <c r="J31" s="13"/>
      <c r="K31" s="13"/>
      <c r="L31" s="13"/>
      <c r="M31" s="13"/>
    </row>
    <row r="32" spans="1:13" s="27" customFormat="1" ht="21" customHeight="1" x14ac:dyDescent="0.4">
      <c r="A32" s="106" t="s">
        <v>351</v>
      </c>
      <c r="B32" s="114">
        <f>2548604910.44*2.9/100</f>
        <v>73909542.402759999</v>
      </c>
      <c r="C32" s="114">
        <f>5263197.2*2.9/100</f>
        <v>152632.7188</v>
      </c>
      <c r="D32" s="114">
        <f>97396995.42*2.9/100</f>
        <v>2824512.8671800001</v>
      </c>
      <c r="E32" s="114">
        <f>297148778.59*2.9/100</f>
        <v>8617314.5791099984</v>
      </c>
      <c r="F32" s="114">
        <f t="shared" si="1"/>
        <v>85504002.567849994</v>
      </c>
      <c r="G32" s="120">
        <v>31569</v>
      </c>
      <c r="H32" s="116" t="s">
        <v>100</v>
      </c>
      <c r="I32" s="117">
        <f t="shared" si="0"/>
        <v>2708.4799191564507</v>
      </c>
      <c r="J32" s="13"/>
      <c r="K32" s="13"/>
      <c r="L32" s="13"/>
      <c r="M32" s="13"/>
    </row>
    <row r="33" spans="1:13" s="27" customFormat="1" ht="21" customHeight="1" x14ac:dyDescent="0.4">
      <c r="A33" s="72" t="s">
        <v>352</v>
      </c>
      <c r="B33" s="114">
        <f>2548604910.44*1.01/100</f>
        <v>25740909.595444001</v>
      </c>
      <c r="C33" s="114">
        <f>5263197.2*1.01/100</f>
        <v>53158.291720000001</v>
      </c>
      <c r="D33" s="114">
        <f>97396995.42*1.01/100</f>
        <v>983709.65374199999</v>
      </c>
      <c r="E33" s="114">
        <f>297148778.59*1.01/100</f>
        <v>3001202.6637589997</v>
      </c>
      <c r="F33" s="114">
        <f t="shared" si="1"/>
        <v>29778980.204665001</v>
      </c>
      <c r="G33" s="120">
        <v>8200</v>
      </c>
      <c r="H33" s="116" t="s">
        <v>100</v>
      </c>
      <c r="I33" s="117">
        <f t="shared" si="0"/>
        <v>3631.5829517884149</v>
      </c>
      <c r="J33" s="13"/>
      <c r="K33" s="13"/>
      <c r="L33" s="13"/>
      <c r="M33" s="13"/>
    </row>
    <row r="34" spans="1:13" s="27" customFormat="1" ht="24" customHeight="1" x14ac:dyDescent="0.4">
      <c r="A34" s="148" t="s">
        <v>353</v>
      </c>
      <c r="B34" s="114">
        <f>2548604910.44*0.03/100</f>
        <v>764581.47313199996</v>
      </c>
      <c r="C34" s="114">
        <f>5263197.2*0.03/100</f>
        <v>1578.9591599999999</v>
      </c>
      <c r="D34" s="114">
        <f>97396995.42*0.03/100</f>
        <v>29219.098626000003</v>
      </c>
      <c r="E34" s="114">
        <f>297148778.59*0.03/100</f>
        <v>89144.633577000001</v>
      </c>
      <c r="F34" s="114">
        <f t="shared" si="1"/>
        <v>884524.16449499992</v>
      </c>
      <c r="G34" s="120">
        <v>170</v>
      </c>
      <c r="H34" s="116" t="s">
        <v>100</v>
      </c>
      <c r="I34" s="117">
        <f t="shared" si="0"/>
        <v>5203.0833205588233</v>
      </c>
      <c r="J34" s="13"/>
      <c r="K34" s="13"/>
      <c r="L34" s="13"/>
      <c r="M34" s="13"/>
    </row>
    <row r="35" spans="1:13" s="27" customFormat="1" ht="37.799999999999997" customHeight="1" x14ac:dyDescent="0.4">
      <c r="A35" s="106" t="s">
        <v>354</v>
      </c>
      <c r="B35" s="114">
        <f>2548604910.44*3.72/100</f>
        <v>94808102.668368012</v>
      </c>
      <c r="C35" s="114">
        <f>5263197.2*3.72/100</f>
        <v>195790.93584000002</v>
      </c>
      <c r="D35" s="114">
        <f>97396995.42*3.72/100</f>
        <v>3623168.2296240004</v>
      </c>
      <c r="E35" s="114">
        <f>297148778.59*3.72/100</f>
        <v>11053934.563548001</v>
      </c>
      <c r="F35" s="114">
        <f t="shared" si="1"/>
        <v>109680996.39738001</v>
      </c>
      <c r="G35" s="170">
        <v>10939</v>
      </c>
      <c r="H35" s="171" t="s">
        <v>100</v>
      </c>
      <c r="I35" s="169">
        <f t="shared" si="0"/>
        <v>10026.601736665143</v>
      </c>
      <c r="J35" s="13"/>
      <c r="K35" s="13"/>
      <c r="L35" s="13"/>
      <c r="M35" s="13"/>
    </row>
    <row r="36" spans="1:13" s="27" customFormat="1" ht="21" customHeight="1" x14ac:dyDescent="0.4">
      <c r="A36" s="72" t="s">
        <v>355</v>
      </c>
      <c r="B36" s="114">
        <f>2548604910.44*26.59/100</f>
        <v>677674045.68599606</v>
      </c>
      <c r="C36" s="114">
        <f>5263197.2*26.59/100</f>
        <v>1399484.1354800002</v>
      </c>
      <c r="D36" s="114">
        <f>97396995.42*26.59/100</f>
        <v>25897861.082178</v>
      </c>
      <c r="E36" s="114">
        <f>297148778.59*26.59/100</f>
        <v>79011860.227081001</v>
      </c>
      <c r="F36" s="114">
        <f t="shared" si="1"/>
        <v>783983251.13073516</v>
      </c>
      <c r="G36" s="170">
        <v>270230</v>
      </c>
      <c r="H36" s="171" t="s">
        <v>100</v>
      </c>
      <c r="I36" s="169">
        <f t="shared" si="0"/>
        <v>2901.1703035589503</v>
      </c>
      <c r="J36" s="13"/>
      <c r="K36" s="13"/>
      <c r="L36" s="13"/>
      <c r="M36" s="13"/>
    </row>
    <row r="37" spans="1:13" s="27" customFormat="1" ht="21" customHeight="1" x14ac:dyDescent="0.4">
      <c r="A37" s="106" t="s">
        <v>356</v>
      </c>
      <c r="B37" s="114">
        <f>2548604910.44*4.37/100</f>
        <v>111374034.58622801</v>
      </c>
      <c r="C37" s="114">
        <f>5263197.2*4.37/100</f>
        <v>230001.71764000002</v>
      </c>
      <c r="D37" s="114">
        <f>97396995.42*4.37/100</f>
        <v>4256248.6998540005</v>
      </c>
      <c r="E37" s="114">
        <f>297148778.59*4.37/100</f>
        <v>12985401.624382999</v>
      </c>
      <c r="F37" s="114">
        <f t="shared" si="1"/>
        <v>128845686.62810501</v>
      </c>
      <c r="G37" s="170">
        <v>11607</v>
      </c>
      <c r="H37" s="171" t="s">
        <v>100</v>
      </c>
      <c r="I37" s="169">
        <f t="shared" si="0"/>
        <v>11100.688087197814</v>
      </c>
      <c r="J37" s="13"/>
      <c r="K37" s="13"/>
      <c r="L37" s="13"/>
      <c r="M37" s="13"/>
    </row>
    <row r="38" spans="1:13" s="25" customFormat="1" ht="21" customHeight="1" thickBot="1" x14ac:dyDescent="0.45">
      <c r="A38" s="121" t="s">
        <v>17</v>
      </c>
      <c r="B38" s="122">
        <f t="shared" ref="B38:F38" si="2">SUM(B8:B37)</f>
        <v>2548604910.4400001</v>
      </c>
      <c r="C38" s="122">
        <f t="shared" si="2"/>
        <v>5263197.2</v>
      </c>
      <c r="D38" s="122">
        <f t="shared" si="2"/>
        <v>97396995.419999987</v>
      </c>
      <c r="E38" s="122">
        <f t="shared" si="2"/>
        <v>297148778.58999991</v>
      </c>
      <c r="F38" s="122">
        <f t="shared" si="2"/>
        <v>2948413881.6499996</v>
      </c>
      <c r="G38" s="122">
        <f>SUM(G8:G37)</f>
        <v>4952816</v>
      </c>
      <c r="H38" s="123"/>
      <c r="I38" s="122">
        <f>+F38/G38</f>
        <v>595.30050816545565</v>
      </c>
    </row>
    <row r="39" spans="1:13" ht="25.05" customHeight="1" thickTop="1" x14ac:dyDescent="0.4"/>
  </sheetData>
  <mergeCells count="12">
    <mergeCell ref="H6:H7"/>
    <mergeCell ref="I6:I7"/>
    <mergeCell ref="A1:I1"/>
    <mergeCell ref="A2:I2"/>
    <mergeCell ref="A3:I3"/>
    <mergeCell ref="A6:A7"/>
    <mergeCell ref="B6:B7"/>
    <mergeCell ref="C6:C7"/>
    <mergeCell ref="D6:D7"/>
    <mergeCell ref="E6:E7"/>
    <mergeCell ref="F6:F7"/>
    <mergeCell ref="G6:G7"/>
  </mergeCells>
  <pageMargins left="0.9055118110236221" right="0.9055118110236221" top="0.35433070866141736" bottom="0.15748031496062992" header="0.31496062992125984" footer="0.31496062992125984"/>
  <pageSetup paperSize="9" scale="60" orientation="landscape" r:id="rId1"/>
  <headerFooter>
    <oddHeader>&amp;R7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7"/>
  <sheetViews>
    <sheetView topLeftCell="B1" workbookViewId="0">
      <selection activeCell="M14" sqref="M14"/>
    </sheetView>
  </sheetViews>
  <sheetFormatPr defaultColWidth="8.19921875" defaultRowHeight="21" x14ac:dyDescent="0.4"/>
  <cols>
    <col min="1" max="1" width="55.19921875" style="13" customWidth="1"/>
    <col min="2" max="2" width="16.796875" style="13" bestFit="1" customWidth="1"/>
    <col min="3" max="3" width="17.09765625" style="13" bestFit="1" customWidth="1"/>
    <col min="4" max="4" width="14.796875" style="13" bestFit="1" customWidth="1"/>
    <col min="5" max="5" width="16.59765625" style="13" customWidth="1"/>
    <col min="6" max="6" width="16.5" style="13" bestFit="1" customWidth="1"/>
    <col min="7" max="7" width="12.8984375" style="124" customWidth="1"/>
    <col min="8" max="8" width="18.8984375" style="13" customWidth="1"/>
    <col min="9" max="9" width="13.5" style="13" bestFit="1" customWidth="1"/>
    <col min="10" max="10" width="8.8984375" style="13" bestFit="1" customWidth="1"/>
    <col min="11" max="256" width="8.19921875" style="13"/>
    <col min="257" max="257" width="55.19921875" style="13" customWidth="1"/>
    <col min="258" max="258" width="16.796875" style="13" bestFit="1" customWidth="1"/>
    <col min="259" max="259" width="17.09765625" style="13" bestFit="1" customWidth="1"/>
    <col min="260" max="260" width="14.796875" style="13" bestFit="1" customWidth="1"/>
    <col min="261" max="261" width="16.59765625" style="13" customWidth="1"/>
    <col min="262" max="262" width="16.296875" style="13" bestFit="1" customWidth="1"/>
    <col min="263" max="263" width="12.8984375" style="13" customWidth="1"/>
    <col min="264" max="264" width="10.5" style="13" customWidth="1"/>
    <col min="265" max="265" width="13.5" style="13" bestFit="1" customWidth="1"/>
    <col min="266" max="266" width="8.8984375" style="13" bestFit="1" customWidth="1"/>
    <col min="267" max="512" width="8.19921875" style="13"/>
    <col min="513" max="513" width="55.19921875" style="13" customWidth="1"/>
    <col min="514" max="514" width="16.796875" style="13" bestFit="1" customWidth="1"/>
    <col min="515" max="515" width="17.09765625" style="13" bestFit="1" customWidth="1"/>
    <col min="516" max="516" width="14.796875" style="13" bestFit="1" customWidth="1"/>
    <col min="517" max="517" width="16.59765625" style="13" customWidth="1"/>
    <col min="518" max="518" width="16.296875" style="13" bestFit="1" customWidth="1"/>
    <col min="519" max="519" width="12.8984375" style="13" customWidth="1"/>
    <col min="520" max="520" width="10.5" style="13" customWidth="1"/>
    <col min="521" max="521" width="13.5" style="13" bestFit="1" customWidth="1"/>
    <col min="522" max="522" width="8.8984375" style="13" bestFit="1" customWidth="1"/>
    <col min="523" max="768" width="8.19921875" style="13"/>
    <col min="769" max="769" width="55.19921875" style="13" customWidth="1"/>
    <col min="770" max="770" width="16.796875" style="13" bestFit="1" customWidth="1"/>
    <col min="771" max="771" width="17.09765625" style="13" bestFit="1" customWidth="1"/>
    <col min="772" max="772" width="14.796875" style="13" bestFit="1" customWidth="1"/>
    <col min="773" max="773" width="16.59765625" style="13" customWidth="1"/>
    <col min="774" max="774" width="16.296875" style="13" bestFit="1" customWidth="1"/>
    <col min="775" max="775" width="12.8984375" style="13" customWidth="1"/>
    <col min="776" max="776" width="10.5" style="13" customWidth="1"/>
    <col min="777" max="777" width="13.5" style="13" bestFit="1" customWidth="1"/>
    <col min="778" max="778" width="8.8984375" style="13" bestFit="1" customWidth="1"/>
    <col min="779" max="1024" width="8.19921875" style="13"/>
    <col min="1025" max="1025" width="55.19921875" style="13" customWidth="1"/>
    <col min="1026" max="1026" width="16.796875" style="13" bestFit="1" customWidth="1"/>
    <col min="1027" max="1027" width="17.09765625" style="13" bestFit="1" customWidth="1"/>
    <col min="1028" max="1028" width="14.796875" style="13" bestFit="1" customWidth="1"/>
    <col min="1029" max="1029" width="16.59765625" style="13" customWidth="1"/>
    <col min="1030" max="1030" width="16.296875" style="13" bestFit="1" customWidth="1"/>
    <col min="1031" max="1031" width="12.8984375" style="13" customWidth="1"/>
    <col min="1032" max="1032" width="10.5" style="13" customWidth="1"/>
    <col min="1033" max="1033" width="13.5" style="13" bestFit="1" customWidth="1"/>
    <col min="1034" max="1034" width="8.8984375" style="13" bestFit="1" customWidth="1"/>
    <col min="1035" max="1280" width="8.19921875" style="13"/>
    <col min="1281" max="1281" width="55.19921875" style="13" customWidth="1"/>
    <col min="1282" max="1282" width="16.796875" style="13" bestFit="1" customWidth="1"/>
    <col min="1283" max="1283" width="17.09765625" style="13" bestFit="1" customWidth="1"/>
    <col min="1284" max="1284" width="14.796875" style="13" bestFit="1" customWidth="1"/>
    <col min="1285" max="1285" width="16.59765625" style="13" customWidth="1"/>
    <col min="1286" max="1286" width="16.296875" style="13" bestFit="1" customWidth="1"/>
    <col min="1287" max="1287" width="12.8984375" style="13" customWidth="1"/>
    <col min="1288" max="1288" width="10.5" style="13" customWidth="1"/>
    <col min="1289" max="1289" width="13.5" style="13" bestFit="1" customWidth="1"/>
    <col min="1290" max="1290" width="8.8984375" style="13" bestFit="1" customWidth="1"/>
    <col min="1291" max="1536" width="8.19921875" style="13"/>
    <col min="1537" max="1537" width="55.19921875" style="13" customWidth="1"/>
    <col min="1538" max="1538" width="16.796875" style="13" bestFit="1" customWidth="1"/>
    <col min="1539" max="1539" width="17.09765625" style="13" bestFit="1" customWidth="1"/>
    <col min="1540" max="1540" width="14.796875" style="13" bestFit="1" customWidth="1"/>
    <col min="1541" max="1541" width="16.59765625" style="13" customWidth="1"/>
    <col min="1542" max="1542" width="16.296875" style="13" bestFit="1" customWidth="1"/>
    <col min="1543" max="1543" width="12.8984375" style="13" customWidth="1"/>
    <col min="1544" max="1544" width="10.5" style="13" customWidth="1"/>
    <col min="1545" max="1545" width="13.5" style="13" bestFit="1" customWidth="1"/>
    <col min="1546" max="1546" width="8.8984375" style="13" bestFit="1" customWidth="1"/>
    <col min="1547" max="1792" width="8.19921875" style="13"/>
    <col min="1793" max="1793" width="55.19921875" style="13" customWidth="1"/>
    <col min="1794" max="1794" width="16.796875" style="13" bestFit="1" customWidth="1"/>
    <col min="1795" max="1795" width="17.09765625" style="13" bestFit="1" customWidth="1"/>
    <col min="1796" max="1796" width="14.796875" style="13" bestFit="1" customWidth="1"/>
    <col min="1797" max="1797" width="16.59765625" style="13" customWidth="1"/>
    <col min="1798" max="1798" width="16.296875" style="13" bestFit="1" customWidth="1"/>
    <col min="1799" max="1799" width="12.8984375" style="13" customWidth="1"/>
    <col min="1800" max="1800" width="10.5" style="13" customWidth="1"/>
    <col min="1801" max="1801" width="13.5" style="13" bestFit="1" customWidth="1"/>
    <col min="1802" max="1802" width="8.8984375" style="13" bestFit="1" customWidth="1"/>
    <col min="1803" max="2048" width="8.19921875" style="13"/>
    <col min="2049" max="2049" width="55.19921875" style="13" customWidth="1"/>
    <col min="2050" max="2050" width="16.796875" style="13" bestFit="1" customWidth="1"/>
    <col min="2051" max="2051" width="17.09765625" style="13" bestFit="1" customWidth="1"/>
    <col min="2052" max="2052" width="14.796875" style="13" bestFit="1" customWidth="1"/>
    <col min="2053" max="2053" width="16.59765625" style="13" customWidth="1"/>
    <col min="2054" max="2054" width="16.296875" style="13" bestFit="1" customWidth="1"/>
    <col min="2055" max="2055" width="12.8984375" style="13" customWidth="1"/>
    <col min="2056" max="2056" width="10.5" style="13" customWidth="1"/>
    <col min="2057" max="2057" width="13.5" style="13" bestFit="1" customWidth="1"/>
    <col min="2058" max="2058" width="8.8984375" style="13" bestFit="1" customWidth="1"/>
    <col min="2059" max="2304" width="8.19921875" style="13"/>
    <col min="2305" max="2305" width="55.19921875" style="13" customWidth="1"/>
    <col min="2306" max="2306" width="16.796875" style="13" bestFit="1" customWidth="1"/>
    <col min="2307" max="2307" width="17.09765625" style="13" bestFit="1" customWidth="1"/>
    <col min="2308" max="2308" width="14.796875" style="13" bestFit="1" customWidth="1"/>
    <col min="2309" max="2309" width="16.59765625" style="13" customWidth="1"/>
    <col min="2310" max="2310" width="16.296875" style="13" bestFit="1" customWidth="1"/>
    <col min="2311" max="2311" width="12.8984375" style="13" customWidth="1"/>
    <col min="2312" max="2312" width="10.5" style="13" customWidth="1"/>
    <col min="2313" max="2313" width="13.5" style="13" bestFit="1" customWidth="1"/>
    <col min="2314" max="2314" width="8.8984375" style="13" bestFit="1" customWidth="1"/>
    <col min="2315" max="2560" width="8.19921875" style="13"/>
    <col min="2561" max="2561" width="55.19921875" style="13" customWidth="1"/>
    <col min="2562" max="2562" width="16.796875" style="13" bestFit="1" customWidth="1"/>
    <col min="2563" max="2563" width="17.09765625" style="13" bestFit="1" customWidth="1"/>
    <col min="2564" max="2564" width="14.796875" style="13" bestFit="1" customWidth="1"/>
    <col min="2565" max="2565" width="16.59765625" style="13" customWidth="1"/>
    <col min="2566" max="2566" width="16.296875" style="13" bestFit="1" customWidth="1"/>
    <col min="2567" max="2567" width="12.8984375" style="13" customWidth="1"/>
    <col min="2568" max="2568" width="10.5" style="13" customWidth="1"/>
    <col min="2569" max="2569" width="13.5" style="13" bestFit="1" customWidth="1"/>
    <col min="2570" max="2570" width="8.8984375" style="13" bestFit="1" customWidth="1"/>
    <col min="2571" max="2816" width="8.19921875" style="13"/>
    <col min="2817" max="2817" width="55.19921875" style="13" customWidth="1"/>
    <col min="2818" max="2818" width="16.796875" style="13" bestFit="1" customWidth="1"/>
    <col min="2819" max="2819" width="17.09765625" style="13" bestFit="1" customWidth="1"/>
    <col min="2820" max="2820" width="14.796875" style="13" bestFit="1" customWidth="1"/>
    <col min="2821" max="2821" width="16.59765625" style="13" customWidth="1"/>
    <col min="2822" max="2822" width="16.296875" style="13" bestFit="1" customWidth="1"/>
    <col min="2823" max="2823" width="12.8984375" style="13" customWidth="1"/>
    <col min="2824" max="2824" width="10.5" style="13" customWidth="1"/>
    <col min="2825" max="2825" width="13.5" style="13" bestFit="1" customWidth="1"/>
    <col min="2826" max="2826" width="8.8984375" style="13" bestFit="1" customWidth="1"/>
    <col min="2827" max="3072" width="8.19921875" style="13"/>
    <col min="3073" max="3073" width="55.19921875" style="13" customWidth="1"/>
    <col min="3074" max="3074" width="16.796875" style="13" bestFit="1" customWidth="1"/>
    <col min="3075" max="3075" width="17.09765625" style="13" bestFit="1" customWidth="1"/>
    <col min="3076" max="3076" width="14.796875" style="13" bestFit="1" customWidth="1"/>
    <col min="3077" max="3077" width="16.59765625" style="13" customWidth="1"/>
    <col min="3078" max="3078" width="16.296875" style="13" bestFit="1" customWidth="1"/>
    <col min="3079" max="3079" width="12.8984375" style="13" customWidth="1"/>
    <col min="3080" max="3080" width="10.5" style="13" customWidth="1"/>
    <col min="3081" max="3081" width="13.5" style="13" bestFit="1" customWidth="1"/>
    <col min="3082" max="3082" width="8.8984375" style="13" bestFit="1" customWidth="1"/>
    <col min="3083" max="3328" width="8.19921875" style="13"/>
    <col min="3329" max="3329" width="55.19921875" style="13" customWidth="1"/>
    <col min="3330" max="3330" width="16.796875" style="13" bestFit="1" customWidth="1"/>
    <col min="3331" max="3331" width="17.09765625" style="13" bestFit="1" customWidth="1"/>
    <col min="3332" max="3332" width="14.796875" style="13" bestFit="1" customWidth="1"/>
    <col min="3333" max="3333" width="16.59765625" style="13" customWidth="1"/>
    <col min="3334" max="3334" width="16.296875" style="13" bestFit="1" customWidth="1"/>
    <col min="3335" max="3335" width="12.8984375" style="13" customWidth="1"/>
    <col min="3336" max="3336" width="10.5" style="13" customWidth="1"/>
    <col min="3337" max="3337" width="13.5" style="13" bestFit="1" customWidth="1"/>
    <col min="3338" max="3338" width="8.8984375" style="13" bestFit="1" customWidth="1"/>
    <col min="3339" max="3584" width="8.19921875" style="13"/>
    <col min="3585" max="3585" width="55.19921875" style="13" customWidth="1"/>
    <col min="3586" max="3586" width="16.796875" style="13" bestFit="1" customWidth="1"/>
    <col min="3587" max="3587" width="17.09765625" style="13" bestFit="1" customWidth="1"/>
    <col min="3588" max="3588" width="14.796875" style="13" bestFit="1" customWidth="1"/>
    <col min="3589" max="3589" width="16.59765625" style="13" customWidth="1"/>
    <col min="3590" max="3590" width="16.296875" style="13" bestFit="1" customWidth="1"/>
    <col min="3591" max="3591" width="12.8984375" style="13" customWidth="1"/>
    <col min="3592" max="3592" width="10.5" style="13" customWidth="1"/>
    <col min="3593" max="3593" width="13.5" style="13" bestFit="1" customWidth="1"/>
    <col min="3594" max="3594" width="8.8984375" style="13" bestFit="1" customWidth="1"/>
    <col min="3595" max="3840" width="8.19921875" style="13"/>
    <col min="3841" max="3841" width="55.19921875" style="13" customWidth="1"/>
    <col min="3842" max="3842" width="16.796875" style="13" bestFit="1" customWidth="1"/>
    <col min="3843" max="3843" width="17.09765625" style="13" bestFit="1" customWidth="1"/>
    <col min="3844" max="3844" width="14.796875" style="13" bestFit="1" customWidth="1"/>
    <col min="3845" max="3845" width="16.59765625" style="13" customWidth="1"/>
    <col min="3846" max="3846" width="16.296875" style="13" bestFit="1" customWidth="1"/>
    <col min="3847" max="3847" width="12.8984375" style="13" customWidth="1"/>
    <col min="3848" max="3848" width="10.5" style="13" customWidth="1"/>
    <col min="3849" max="3849" width="13.5" style="13" bestFit="1" customWidth="1"/>
    <col min="3850" max="3850" width="8.8984375" style="13" bestFit="1" customWidth="1"/>
    <col min="3851" max="4096" width="8.19921875" style="13"/>
    <col min="4097" max="4097" width="55.19921875" style="13" customWidth="1"/>
    <col min="4098" max="4098" width="16.796875" style="13" bestFit="1" customWidth="1"/>
    <col min="4099" max="4099" width="17.09765625" style="13" bestFit="1" customWidth="1"/>
    <col min="4100" max="4100" width="14.796875" style="13" bestFit="1" customWidth="1"/>
    <col min="4101" max="4101" width="16.59765625" style="13" customWidth="1"/>
    <col min="4102" max="4102" width="16.296875" style="13" bestFit="1" customWidth="1"/>
    <col min="4103" max="4103" width="12.8984375" style="13" customWidth="1"/>
    <col min="4104" max="4104" width="10.5" style="13" customWidth="1"/>
    <col min="4105" max="4105" width="13.5" style="13" bestFit="1" customWidth="1"/>
    <col min="4106" max="4106" width="8.8984375" style="13" bestFit="1" customWidth="1"/>
    <col min="4107" max="4352" width="8.19921875" style="13"/>
    <col min="4353" max="4353" width="55.19921875" style="13" customWidth="1"/>
    <col min="4354" max="4354" width="16.796875" style="13" bestFit="1" customWidth="1"/>
    <col min="4355" max="4355" width="17.09765625" style="13" bestFit="1" customWidth="1"/>
    <col min="4356" max="4356" width="14.796875" style="13" bestFit="1" customWidth="1"/>
    <col min="4357" max="4357" width="16.59765625" style="13" customWidth="1"/>
    <col min="4358" max="4358" width="16.296875" style="13" bestFit="1" customWidth="1"/>
    <col min="4359" max="4359" width="12.8984375" style="13" customWidth="1"/>
    <col min="4360" max="4360" width="10.5" style="13" customWidth="1"/>
    <col min="4361" max="4361" width="13.5" style="13" bestFit="1" customWidth="1"/>
    <col min="4362" max="4362" width="8.8984375" style="13" bestFit="1" customWidth="1"/>
    <col min="4363" max="4608" width="8.19921875" style="13"/>
    <col min="4609" max="4609" width="55.19921875" style="13" customWidth="1"/>
    <col min="4610" max="4610" width="16.796875" style="13" bestFit="1" customWidth="1"/>
    <col min="4611" max="4611" width="17.09765625" style="13" bestFit="1" customWidth="1"/>
    <col min="4612" max="4612" width="14.796875" style="13" bestFit="1" customWidth="1"/>
    <col min="4613" max="4613" width="16.59765625" style="13" customWidth="1"/>
    <col min="4614" max="4614" width="16.296875" style="13" bestFit="1" customWidth="1"/>
    <col min="4615" max="4615" width="12.8984375" style="13" customWidth="1"/>
    <col min="4616" max="4616" width="10.5" style="13" customWidth="1"/>
    <col min="4617" max="4617" width="13.5" style="13" bestFit="1" customWidth="1"/>
    <col min="4618" max="4618" width="8.8984375" style="13" bestFit="1" customWidth="1"/>
    <col min="4619" max="4864" width="8.19921875" style="13"/>
    <col min="4865" max="4865" width="55.19921875" style="13" customWidth="1"/>
    <col min="4866" max="4866" width="16.796875" style="13" bestFit="1" customWidth="1"/>
    <col min="4867" max="4867" width="17.09765625" style="13" bestFit="1" customWidth="1"/>
    <col min="4868" max="4868" width="14.796875" style="13" bestFit="1" customWidth="1"/>
    <col min="4869" max="4869" width="16.59765625" style="13" customWidth="1"/>
    <col min="4870" max="4870" width="16.296875" style="13" bestFit="1" customWidth="1"/>
    <col min="4871" max="4871" width="12.8984375" style="13" customWidth="1"/>
    <col min="4872" max="4872" width="10.5" style="13" customWidth="1"/>
    <col min="4873" max="4873" width="13.5" style="13" bestFit="1" customWidth="1"/>
    <col min="4874" max="4874" width="8.8984375" style="13" bestFit="1" customWidth="1"/>
    <col min="4875" max="5120" width="8.19921875" style="13"/>
    <col min="5121" max="5121" width="55.19921875" style="13" customWidth="1"/>
    <col min="5122" max="5122" width="16.796875" style="13" bestFit="1" customWidth="1"/>
    <col min="5123" max="5123" width="17.09765625" style="13" bestFit="1" customWidth="1"/>
    <col min="5124" max="5124" width="14.796875" style="13" bestFit="1" customWidth="1"/>
    <col min="5125" max="5125" width="16.59765625" style="13" customWidth="1"/>
    <col min="5126" max="5126" width="16.296875" style="13" bestFit="1" customWidth="1"/>
    <col min="5127" max="5127" width="12.8984375" style="13" customWidth="1"/>
    <col min="5128" max="5128" width="10.5" style="13" customWidth="1"/>
    <col min="5129" max="5129" width="13.5" style="13" bestFit="1" customWidth="1"/>
    <col min="5130" max="5130" width="8.8984375" style="13" bestFit="1" customWidth="1"/>
    <col min="5131" max="5376" width="8.19921875" style="13"/>
    <col min="5377" max="5377" width="55.19921875" style="13" customWidth="1"/>
    <col min="5378" max="5378" width="16.796875" style="13" bestFit="1" customWidth="1"/>
    <col min="5379" max="5379" width="17.09765625" style="13" bestFit="1" customWidth="1"/>
    <col min="5380" max="5380" width="14.796875" style="13" bestFit="1" customWidth="1"/>
    <col min="5381" max="5381" width="16.59765625" style="13" customWidth="1"/>
    <col min="5382" max="5382" width="16.296875" style="13" bestFit="1" customWidth="1"/>
    <col min="5383" max="5383" width="12.8984375" style="13" customWidth="1"/>
    <col min="5384" max="5384" width="10.5" style="13" customWidth="1"/>
    <col min="5385" max="5385" width="13.5" style="13" bestFit="1" customWidth="1"/>
    <col min="5386" max="5386" width="8.8984375" style="13" bestFit="1" customWidth="1"/>
    <col min="5387" max="5632" width="8.19921875" style="13"/>
    <col min="5633" max="5633" width="55.19921875" style="13" customWidth="1"/>
    <col min="5634" max="5634" width="16.796875" style="13" bestFit="1" customWidth="1"/>
    <col min="5635" max="5635" width="17.09765625" style="13" bestFit="1" customWidth="1"/>
    <col min="5636" max="5636" width="14.796875" style="13" bestFit="1" customWidth="1"/>
    <col min="5637" max="5637" width="16.59765625" style="13" customWidth="1"/>
    <col min="5638" max="5638" width="16.296875" style="13" bestFit="1" customWidth="1"/>
    <col min="5639" max="5639" width="12.8984375" style="13" customWidth="1"/>
    <col min="5640" max="5640" width="10.5" style="13" customWidth="1"/>
    <col min="5641" max="5641" width="13.5" style="13" bestFit="1" customWidth="1"/>
    <col min="5642" max="5642" width="8.8984375" style="13" bestFit="1" customWidth="1"/>
    <col min="5643" max="5888" width="8.19921875" style="13"/>
    <col min="5889" max="5889" width="55.19921875" style="13" customWidth="1"/>
    <col min="5890" max="5890" width="16.796875" style="13" bestFit="1" customWidth="1"/>
    <col min="5891" max="5891" width="17.09765625" style="13" bestFit="1" customWidth="1"/>
    <col min="5892" max="5892" width="14.796875" style="13" bestFit="1" customWidth="1"/>
    <col min="5893" max="5893" width="16.59765625" style="13" customWidth="1"/>
    <col min="5894" max="5894" width="16.296875" style="13" bestFit="1" customWidth="1"/>
    <col min="5895" max="5895" width="12.8984375" style="13" customWidth="1"/>
    <col min="5896" max="5896" width="10.5" style="13" customWidth="1"/>
    <col min="5897" max="5897" width="13.5" style="13" bestFit="1" customWidth="1"/>
    <col min="5898" max="5898" width="8.8984375" style="13" bestFit="1" customWidth="1"/>
    <col min="5899" max="6144" width="8.19921875" style="13"/>
    <col min="6145" max="6145" width="55.19921875" style="13" customWidth="1"/>
    <col min="6146" max="6146" width="16.796875" style="13" bestFit="1" customWidth="1"/>
    <col min="6147" max="6147" width="17.09765625" style="13" bestFit="1" customWidth="1"/>
    <col min="6148" max="6148" width="14.796875" style="13" bestFit="1" customWidth="1"/>
    <col min="6149" max="6149" width="16.59765625" style="13" customWidth="1"/>
    <col min="6150" max="6150" width="16.296875" style="13" bestFit="1" customWidth="1"/>
    <col min="6151" max="6151" width="12.8984375" style="13" customWidth="1"/>
    <col min="6152" max="6152" width="10.5" style="13" customWidth="1"/>
    <col min="6153" max="6153" width="13.5" style="13" bestFit="1" customWidth="1"/>
    <col min="6154" max="6154" width="8.8984375" style="13" bestFit="1" customWidth="1"/>
    <col min="6155" max="6400" width="8.19921875" style="13"/>
    <col min="6401" max="6401" width="55.19921875" style="13" customWidth="1"/>
    <col min="6402" max="6402" width="16.796875" style="13" bestFit="1" customWidth="1"/>
    <col min="6403" max="6403" width="17.09765625" style="13" bestFit="1" customWidth="1"/>
    <col min="6404" max="6404" width="14.796875" style="13" bestFit="1" customWidth="1"/>
    <col min="6405" max="6405" width="16.59765625" style="13" customWidth="1"/>
    <col min="6406" max="6406" width="16.296875" style="13" bestFit="1" customWidth="1"/>
    <col min="6407" max="6407" width="12.8984375" style="13" customWidth="1"/>
    <col min="6408" max="6408" width="10.5" style="13" customWidth="1"/>
    <col min="6409" max="6409" width="13.5" style="13" bestFit="1" customWidth="1"/>
    <col min="6410" max="6410" width="8.8984375" style="13" bestFit="1" customWidth="1"/>
    <col min="6411" max="6656" width="8.19921875" style="13"/>
    <col min="6657" max="6657" width="55.19921875" style="13" customWidth="1"/>
    <col min="6658" max="6658" width="16.796875" style="13" bestFit="1" customWidth="1"/>
    <col min="6659" max="6659" width="17.09765625" style="13" bestFit="1" customWidth="1"/>
    <col min="6660" max="6660" width="14.796875" style="13" bestFit="1" customWidth="1"/>
    <col min="6661" max="6661" width="16.59765625" style="13" customWidth="1"/>
    <col min="6662" max="6662" width="16.296875" style="13" bestFit="1" customWidth="1"/>
    <col min="6663" max="6663" width="12.8984375" style="13" customWidth="1"/>
    <col min="6664" max="6664" width="10.5" style="13" customWidth="1"/>
    <col min="6665" max="6665" width="13.5" style="13" bestFit="1" customWidth="1"/>
    <col min="6666" max="6666" width="8.8984375" style="13" bestFit="1" customWidth="1"/>
    <col min="6667" max="6912" width="8.19921875" style="13"/>
    <col min="6913" max="6913" width="55.19921875" style="13" customWidth="1"/>
    <col min="6914" max="6914" width="16.796875" style="13" bestFit="1" customWidth="1"/>
    <col min="6915" max="6915" width="17.09765625" style="13" bestFit="1" customWidth="1"/>
    <col min="6916" max="6916" width="14.796875" style="13" bestFit="1" customWidth="1"/>
    <col min="6917" max="6917" width="16.59765625" style="13" customWidth="1"/>
    <col min="6918" max="6918" width="16.296875" style="13" bestFit="1" customWidth="1"/>
    <col min="6919" max="6919" width="12.8984375" style="13" customWidth="1"/>
    <col min="6920" max="6920" width="10.5" style="13" customWidth="1"/>
    <col min="6921" max="6921" width="13.5" style="13" bestFit="1" customWidth="1"/>
    <col min="6922" max="6922" width="8.8984375" style="13" bestFit="1" customWidth="1"/>
    <col min="6923" max="7168" width="8.19921875" style="13"/>
    <col min="7169" max="7169" width="55.19921875" style="13" customWidth="1"/>
    <col min="7170" max="7170" width="16.796875" style="13" bestFit="1" customWidth="1"/>
    <col min="7171" max="7171" width="17.09765625" style="13" bestFit="1" customWidth="1"/>
    <col min="7172" max="7172" width="14.796875" style="13" bestFit="1" customWidth="1"/>
    <col min="7173" max="7173" width="16.59765625" style="13" customWidth="1"/>
    <col min="7174" max="7174" width="16.296875" style="13" bestFit="1" customWidth="1"/>
    <col min="7175" max="7175" width="12.8984375" style="13" customWidth="1"/>
    <col min="7176" max="7176" width="10.5" style="13" customWidth="1"/>
    <col min="7177" max="7177" width="13.5" style="13" bestFit="1" customWidth="1"/>
    <col min="7178" max="7178" width="8.8984375" style="13" bestFit="1" customWidth="1"/>
    <col min="7179" max="7424" width="8.19921875" style="13"/>
    <col min="7425" max="7425" width="55.19921875" style="13" customWidth="1"/>
    <col min="7426" max="7426" width="16.796875" style="13" bestFit="1" customWidth="1"/>
    <col min="7427" max="7427" width="17.09765625" style="13" bestFit="1" customWidth="1"/>
    <col min="7428" max="7428" width="14.796875" style="13" bestFit="1" customWidth="1"/>
    <col min="7429" max="7429" width="16.59765625" style="13" customWidth="1"/>
    <col min="7430" max="7430" width="16.296875" style="13" bestFit="1" customWidth="1"/>
    <col min="7431" max="7431" width="12.8984375" style="13" customWidth="1"/>
    <col min="7432" max="7432" width="10.5" style="13" customWidth="1"/>
    <col min="7433" max="7433" width="13.5" style="13" bestFit="1" customWidth="1"/>
    <col min="7434" max="7434" width="8.8984375" style="13" bestFit="1" customWidth="1"/>
    <col min="7435" max="7680" width="8.19921875" style="13"/>
    <col min="7681" max="7681" width="55.19921875" style="13" customWidth="1"/>
    <col min="7682" max="7682" width="16.796875" style="13" bestFit="1" customWidth="1"/>
    <col min="7683" max="7683" width="17.09765625" style="13" bestFit="1" customWidth="1"/>
    <col min="7684" max="7684" width="14.796875" style="13" bestFit="1" customWidth="1"/>
    <col min="7685" max="7685" width="16.59765625" style="13" customWidth="1"/>
    <col min="7686" max="7686" width="16.296875" style="13" bestFit="1" customWidth="1"/>
    <col min="7687" max="7687" width="12.8984375" style="13" customWidth="1"/>
    <col min="7688" max="7688" width="10.5" style="13" customWidth="1"/>
    <col min="7689" max="7689" width="13.5" style="13" bestFit="1" customWidth="1"/>
    <col min="7690" max="7690" width="8.8984375" style="13" bestFit="1" customWidth="1"/>
    <col min="7691" max="7936" width="8.19921875" style="13"/>
    <col min="7937" max="7937" width="55.19921875" style="13" customWidth="1"/>
    <col min="7938" max="7938" width="16.796875" style="13" bestFit="1" customWidth="1"/>
    <col min="7939" max="7939" width="17.09765625" style="13" bestFit="1" customWidth="1"/>
    <col min="7940" max="7940" width="14.796875" style="13" bestFit="1" customWidth="1"/>
    <col min="7941" max="7941" width="16.59765625" style="13" customWidth="1"/>
    <col min="7942" max="7942" width="16.296875" style="13" bestFit="1" customWidth="1"/>
    <col min="7943" max="7943" width="12.8984375" style="13" customWidth="1"/>
    <col min="7944" max="7944" width="10.5" style="13" customWidth="1"/>
    <col min="7945" max="7945" width="13.5" style="13" bestFit="1" customWidth="1"/>
    <col min="7946" max="7946" width="8.8984375" style="13" bestFit="1" customWidth="1"/>
    <col min="7947" max="8192" width="8.19921875" style="13"/>
    <col min="8193" max="8193" width="55.19921875" style="13" customWidth="1"/>
    <col min="8194" max="8194" width="16.796875" style="13" bestFit="1" customWidth="1"/>
    <col min="8195" max="8195" width="17.09765625" style="13" bestFit="1" customWidth="1"/>
    <col min="8196" max="8196" width="14.796875" style="13" bestFit="1" customWidth="1"/>
    <col min="8197" max="8197" width="16.59765625" style="13" customWidth="1"/>
    <col min="8198" max="8198" width="16.296875" style="13" bestFit="1" customWidth="1"/>
    <col min="8199" max="8199" width="12.8984375" style="13" customWidth="1"/>
    <col min="8200" max="8200" width="10.5" style="13" customWidth="1"/>
    <col min="8201" max="8201" width="13.5" style="13" bestFit="1" customWidth="1"/>
    <col min="8202" max="8202" width="8.8984375" style="13" bestFit="1" customWidth="1"/>
    <col min="8203" max="8448" width="8.19921875" style="13"/>
    <col min="8449" max="8449" width="55.19921875" style="13" customWidth="1"/>
    <col min="8450" max="8450" width="16.796875" style="13" bestFit="1" customWidth="1"/>
    <col min="8451" max="8451" width="17.09765625" style="13" bestFit="1" customWidth="1"/>
    <col min="8452" max="8452" width="14.796875" style="13" bestFit="1" customWidth="1"/>
    <col min="8453" max="8453" width="16.59765625" style="13" customWidth="1"/>
    <col min="8454" max="8454" width="16.296875" style="13" bestFit="1" customWidth="1"/>
    <col min="8455" max="8455" width="12.8984375" style="13" customWidth="1"/>
    <col min="8456" max="8456" width="10.5" style="13" customWidth="1"/>
    <col min="8457" max="8457" width="13.5" style="13" bestFit="1" customWidth="1"/>
    <col min="8458" max="8458" width="8.8984375" style="13" bestFit="1" customWidth="1"/>
    <col min="8459" max="8704" width="8.19921875" style="13"/>
    <col min="8705" max="8705" width="55.19921875" style="13" customWidth="1"/>
    <col min="8706" max="8706" width="16.796875" style="13" bestFit="1" customWidth="1"/>
    <col min="8707" max="8707" width="17.09765625" style="13" bestFit="1" customWidth="1"/>
    <col min="8708" max="8708" width="14.796875" style="13" bestFit="1" customWidth="1"/>
    <col min="8709" max="8709" width="16.59765625" style="13" customWidth="1"/>
    <col min="8710" max="8710" width="16.296875" style="13" bestFit="1" customWidth="1"/>
    <col min="8711" max="8711" width="12.8984375" style="13" customWidth="1"/>
    <col min="8712" max="8712" width="10.5" style="13" customWidth="1"/>
    <col min="8713" max="8713" width="13.5" style="13" bestFit="1" customWidth="1"/>
    <col min="8714" max="8714" width="8.8984375" style="13" bestFit="1" customWidth="1"/>
    <col min="8715" max="8960" width="8.19921875" style="13"/>
    <col min="8961" max="8961" width="55.19921875" style="13" customWidth="1"/>
    <col min="8962" max="8962" width="16.796875" style="13" bestFit="1" customWidth="1"/>
    <col min="8963" max="8963" width="17.09765625" style="13" bestFit="1" customWidth="1"/>
    <col min="8964" max="8964" width="14.796875" style="13" bestFit="1" customWidth="1"/>
    <col min="8965" max="8965" width="16.59765625" style="13" customWidth="1"/>
    <col min="8966" max="8966" width="16.296875" style="13" bestFit="1" customWidth="1"/>
    <col min="8967" max="8967" width="12.8984375" style="13" customWidth="1"/>
    <col min="8968" max="8968" width="10.5" style="13" customWidth="1"/>
    <col min="8969" max="8969" width="13.5" style="13" bestFit="1" customWidth="1"/>
    <col min="8970" max="8970" width="8.8984375" style="13" bestFit="1" customWidth="1"/>
    <col min="8971" max="9216" width="8.19921875" style="13"/>
    <col min="9217" max="9217" width="55.19921875" style="13" customWidth="1"/>
    <col min="9218" max="9218" width="16.796875" style="13" bestFit="1" customWidth="1"/>
    <col min="9219" max="9219" width="17.09765625" style="13" bestFit="1" customWidth="1"/>
    <col min="9220" max="9220" width="14.796875" style="13" bestFit="1" customWidth="1"/>
    <col min="9221" max="9221" width="16.59765625" style="13" customWidth="1"/>
    <col min="9222" max="9222" width="16.296875" style="13" bestFit="1" customWidth="1"/>
    <col min="9223" max="9223" width="12.8984375" style="13" customWidth="1"/>
    <col min="9224" max="9224" width="10.5" style="13" customWidth="1"/>
    <col min="9225" max="9225" width="13.5" style="13" bestFit="1" customWidth="1"/>
    <col min="9226" max="9226" width="8.8984375" style="13" bestFit="1" customWidth="1"/>
    <col min="9227" max="9472" width="8.19921875" style="13"/>
    <col min="9473" max="9473" width="55.19921875" style="13" customWidth="1"/>
    <col min="9474" max="9474" width="16.796875" style="13" bestFit="1" customWidth="1"/>
    <col min="9475" max="9475" width="17.09765625" style="13" bestFit="1" customWidth="1"/>
    <col min="9476" max="9476" width="14.796875" style="13" bestFit="1" customWidth="1"/>
    <col min="9477" max="9477" width="16.59765625" style="13" customWidth="1"/>
    <col min="9478" max="9478" width="16.296875" style="13" bestFit="1" customWidth="1"/>
    <col min="9479" max="9479" width="12.8984375" style="13" customWidth="1"/>
    <col min="9480" max="9480" width="10.5" style="13" customWidth="1"/>
    <col min="9481" max="9481" width="13.5" style="13" bestFit="1" customWidth="1"/>
    <col min="9482" max="9482" width="8.8984375" style="13" bestFit="1" customWidth="1"/>
    <col min="9483" max="9728" width="8.19921875" style="13"/>
    <col min="9729" max="9729" width="55.19921875" style="13" customWidth="1"/>
    <col min="9730" max="9730" width="16.796875" style="13" bestFit="1" customWidth="1"/>
    <col min="9731" max="9731" width="17.09765625" style="13" bestFit="1" customWidth="1"/>
    <col min="9732" max="9732" width="14.796875" style="13" bestFit="1" customWidth="1"/>
    <col min="9733" max="9733" width="16.59765625" style="13" customWidth="1"/>
    <col min="9734" max="9734" width="16.296875" style="13" bestFit="1" customWidth="1"/>
    <col min="9735" max="9735" width="12.8984375" style="13" customWidth="1"/>
    <col min="9736" max="9736" width="10.5" style="13" customWidth="1"/>
    <col min="9737" max="9737" width="13.5" style="13" bestFit="1" customWidth="1"/>
    <col min="9738" max="9738" width="8.8984375" style="13" bestFit="1" customWidth="1"/>
    <col min="9739" max="9984" width="8.19921875" style="13"/>
    <col min="9985" max="9985" width="55.19921875" style="13" customWidth="1"/>
    <col min="9986" max="9986" width="16.796875" style="13" bestFit="1" customWidth="1"/>
    <col min="9987" max="9987" width="17.09765625" style="13" bestFit="1" customWidth="1"/>
    <col min="9988" max="9988" width="14.796875" style="13" bestFit="1" customWidth="1"/>
    <col min="9989" max="9989" width="16.59765625" style="13" customWidth="1"/>
    <col min="9990" max="9990" width="16.296875" style="13" bestFit="1" customWidth="1"/>
    <col min="9991" max="9991" width="12.8984375" style="13" customWidth="1"/>
    <col min="9992" max="9992" width="10.5" style="13" customWidth="1"/>
    <col min="9993" max="9993" width="13.5" style="13" bestFit="1" customWidth="1"/>
    <col min="9994" max="9994" width="8.8984375" style="13" bestFit="1" customWidth="1"/>
    <col min="9995" max="10240" width="8.19921875" style="13"/>
    <col min="10241" max="10241" width="55.19921875" style="13" customWidth="1"/>
    <col min="10242" max="10242" width="16.796875" style="13" bestFit="1" customWidth="1"/>
    <col min="10243" max="10243" width="17.09765625" style="13" bestFit="1" customWidth="1"/>
    <col min="10244" max="10244" width="14.796875" style="13" bestFit="1" customWidth="1"/>
    <col min="10245" max="10245" width="16.59765625" style="13" customWidth="1"/>
    <col min="10246" max="10246" width="16.296875" style="13" bestFit="1" customWidth="1"/>
    <col min="10247" max="10247" width="12.8984375" style="13" customWidth="1"/>
    <col min="10248" max="10248" width="10.5" style="13" customWidth="1"/>
    <col min="10249" max="10249" width="13.5" style="13" bestFit="1" customWidth="1"/>
    <col min="10250" max="10250" width="8.8984375" style="13" bestFit="1" customWidth="1"/>
    <col min="10251" max="10496" width="8.19921875" style="13"/>
    <col min="10497" max="10497" width="55.19921875" style="13" customWidth="1"/>
    <col min="10498" max="10498" width="16.796875" style="13" bestFit="1" customWidth="1"/>
    <col min="10499" max="10499" width="17.09765625" style="13" bestFit="1" customWidth="1"/>
    <col min="10500" max="10500" width="14.796875" style="13" bestFit="1" customWidth="1"/>
    <col min="10501" max="10501" width="16.59765625" style="13" customWidth="1"/>
    <col min="10502" max="10502" width="16.296875" style="13" bestFit="1" customWidth="1"/>
    <col min="10503" max="10503" width="12.8984375" style="13" customWidth="1"/>
    <col min="10504" max="10504" width="10.5" style="13" customWidth="1"/>
    <col min="10505" max="10505" width="13.5" style="13" bestFit="1" customWidth="1"/>
    <col min="10506" max="10506" width="8.8984375" style="13" bestFit="1" customWidth="1"/>
    <col min="10507" max="10752" width="8.19921875" style="13"/>
    <col min="10753" max="10753" width="55.19921875" style="13" customWidth="1"/>
    <col min="10754" max="10754" width="16.796875" style="13" bestFit="1" customWidth="1"/>
    <col min="10755" max="10755" width="17.09765625" style="13" bestFit="1" customWidth="1"/>
    <col min="10756" max="10756" width="14.796875" style="13" bestFit="1" customWidth="1"/>
    <col min="10757" max="10757" width="16.59765625" style="13" customWidth="1"/>
    <col min="10758" max="10758" width="16.296875" style="13" bestFit="1" customWidth="1"/>
    <col min="10759" max="10759" width="12.8984375" style="13" customWidth="1"/>
    <col min="10760" max="10760" width="10.5" style="13" customWidth="1"/>
    <col min="10761" max="10761" width="13.5" style="13" bestFit="1" customWidth="1"/>
    <col min="10762" max="10762" width="8.8984375" style="13" bestFit="1" customWidth="1"/>
    <col min="10763" max="11008" width="8.19921875" style="13"/>
    <col min="11009" max="11009" width="55.19921875" style="13" customWidth="1"/>
    <col min="11010" max="11010" width="16.796875" style="13" bestFit="1" customWidth="1"/>
    <col min="11011" max="11011" width="17.09765625" style="13" bestFit="1" customWidth="1"/>
    <col min="11012" max="11012" width="14.796875" style="13" bestFit="1" customWidth="1"/>
    <col min="11013" max="11013" width="16.59765625" style="13" customWidth="1"/>
    <col min="11014" max="11014" width="16.296875" style="13" bestFit="1" customWidth="1"/>
    <col min="11015" max="11015" width="12.8984375" style="13" customWidth="1"/>
    <col min="11016" max="11016" width="10.5" style="13" customWidth="1"/>
    <col min="11017" max="11017" width="13.5" style="13" bestFit="1" customWidth="1"/>
    <col min="11018" max="11018" width="8.8984375" style="13" bestFit="1" customWidth="1"/>
    <col min="11019" max="11264" width="8.19921875" style="13"/>
    <col min="11265" max="11265" width="55.19921875" style="13" customWidth="1"/>
    <col min="11266" max="11266" width="16.796875" style="13" bestFit="1" customWidth="1"/>
    <col min="11267" max="11267" width="17.09765625" style="13" bestFit="1" customWidth="1"/>
    <col min="11268" max="11268" width="14.796875" style="13" bestFit="1" customWidth="1"/>
    <col min="11269" max="11269" width="16.59765625" style="13" customWidth="1"/>
    <col min="11270" max="11270" width="16.296875" style="13" bestFit="1" customWidth="1"/>
    <col min="11271" max="11271" width="12.8984375" style="13" customWidth="1"/>
    <col min="11272" max="11272" width="10.5" style="13" customWidth="1"/>
    <col min="11273" max="11273" width="13.5" style="13" bestFit="1" customWidth="1"/>
    <col min="11274" max="11274" width="8.8984375" style="13" bestFit="1" customWidth="1"/>
    <col min="11275" max="11520" width="8.19921875" style="13"/>
    <col min="11521" max="11521" width="55.19921875" style="13" customWidth="1"/>
    <col min="11522" max="11522" width="16.796875" style="13" bestFit="1" customWidth="1"/>
    <col min="11523" max="11523" width="17.09765625" style="13" bestFit="1" customWidth="1"/>
    <col min="11524" max="11524" width="14.796875" style="13" bestFit="1" customWidth="1"/>
    <col min="11525" max="11525" width="16.59765625" style="13" customWidth="1"/>
    <col min="11526" max="11526" width="16.296875" style="13" bestFit="1" customWidth="1"/>
    <col min="11527" max="11527" width="12.8984375" style="13" customWidth="1"/>
    <col min="11528" max="11528" width="10.5" style="13" customWidth="1"/>
    <col min="11529" max="11529" width="13.5" style="13" bestFit="1" customWidth="1"/>
    <col min="11530" max="11530" width="8.8984375" style="13" bestFit="1" customWidth="1"/>
    <col min="11531" max="11776" width="8.19921875" style="13"/>
    <col min="11777" max="11777" width="55.19921875" style="13" customWidth="1"/>
    <col min="11778" max="11778" width="16.796875" style="13" bestFit="1" customWidth="1"/>
    <col min="11779" max="11779" width="17.09765625" style="13" bestFit="1" customWidth="1"/>
    <col min="11780" max="11780" width="14.796875" style="13" bestFit="1" customWidth="1"/>
    <col min="11781" max="11781" width="16.59765625" style="13" customWidth="1"/>
    <col min="11782" max="11782" width="16.296875" style="13" bestFit="1" customWidth="1"/>
    <col min="11783" max="11783" width="12.8984375" style="13" customWidth="1"/>
    <col min="11784" max="11784" width="10.5" style="13" customWidth="1"/>
    <col min="11785" max="11785" width="13.5" style="13" bestFit="1" customWidth="1"/>
    <col min="11786" max="11786" width="8.8984375" style="13" bestFit="1" customWidth="1"/>
    <col min="11787" max="12032" width="8.19921875" style="13"/>
    <col min="12033" max="12033" width="55.19921875" style="13" customWidth="1"/>
    <col min="12034" max="12034" width="16.796875" style="13" bestFit="1" customWidth="1"/>
    <col min="12035" max="12035" width="17.09765625" style="13" bestFit="1" customWidth="1"/>
    <col min="12036" max="12036" width="14.796875" style="13" bestFit="1" customWidth="1"/>
    <col min="12037" max="12037" width="16.59765625" style="13" customWidth="1"/>
    <col min="12038" max="12038" width="16.296875" style="13" bestFit="1" customWidth="1"/>
    <col min="12039" max="12039" width="12.8984375" style="13" customWidth="1"/>
    <col min="12040" max="12040" width="10.5" style="13" customWidth="1"/>
    <col min="12041" max="12041" width="13.5" style="13" bestFit="1" customWidth="1"/>
    <col min="12042" max="12042" width="8.8984375" style="13" bestFit="1" customWidth="1"/>
    <col min="12043" max="12288" width="8.19921875" style="13"/>
    <col min="12289" max="12289" width="55.19921875" style="13" customWidth="1"/>
    <col min="12290" max="12290" width="16.796875" style="13" bestFit="1" customWidth="1"/>
    <col min="12291" max="12291" width="17.09765625" style="13" bestFit="1" customWidth="1"/>
    <col min="12292" max="12292" width="14.796875" style="13" bestFit="1" customWidth="1"/>
    <col min="12293" max="12293" width="16.59765625" style="13" customWidth="1"/>
    <col min="12294" max="12294" width="16.296875" style="13" bestFit="1" customWidth="1"/>
    <col min="12295" max="12295" width="12.8984375" style="13" customWidth="1"/>
    <col min="12296" max="12296" width="10.5" style="13" customWidth="1"/>
    <col min="12297" max="12297" width="13.5" style="13" bestFit="1" customWidth="1"/>
    <col min="12298" max="12298" width="8.8984375" style="13" bestFit="1" customWidth="1"/>
    <col min="12299" max="12544" width="8.19921875" style="13"/>
    <col min="12545" max="12545" width="55.19921875" style="13" customWidth="1"/>
    <col min="12546" max="12546" width="16.796875" style="13" bestFit="1" customWidth="1"/>
    <col min="12547" max="12547" width="17.09765625" style="13" bestFit="1" customWidth="1"/>
    <col min="12548" max="12548" width="14.796875" style="13" bestFit="1" customWidth="1"/>
    <col min="12549" max="12549" width="16.59765625" style="13" customWidth="1"/>
    <col min="12550" max="12550" width="16.296875" style="13" bestFit="1" customWidth="1"/>
    <col min="12551" max="12551" width="12.8984375" style="13" customWidth="1"/>
    <col min="12552" max="12552" width="10.5" style="13" customWidth="1"/>
    <col min="12553" max="12553" width="13.5" style="13" bestFit="1" customWidth="1"/>
    <col min="12554" max="12554" width="8.8984375" style="13" bestFit="1" customWidth="1"/>
    <col min="12555" max="12800" width="8.19921875" style="13"/>
    <col min="12801" max="12801" width="55.19921875" style="13" customWidth="1"/>
    <col min="12802" max="12802" width="16.796875" style="13" bestFit="1" customWidth="1"/>
    <col min="12803" max="12803" width="17.09765625" style="13" bestFit="1" customWidth="1"/>
    <col min="12804" max="12804" width="14.796875" style="13" bestFit="1" customWidth="1"/>
    <col min="12805" max="12805" width="16.59765625" style="13" customWidth="1"/>
    <col min="12806" max="12806" width="16.296875" style="13" bestFit="1" customWidth="1"/>
    <col min="12807" max="12807" width="12.8984375" style="13" customWidth="1"/>
    <col min="12808" max="12808" width="10.5" style="13" customWidth="1"/>
    <col min="12809" max="12809" width="13.5" style="13" bestFit="1" customWidth="1"/>
    <col min="12810" max="12810" width="8.8984375" style="13" bestFit="1" customWidth="1"/>
    <col min="12811" max="13056" width="8.19921875" style="13"/>
    <col min="13057" max="13057" width="55.19921875" style="13" customWidth="1"/>
    <col min="13058" max="13058" width="16.796875" style="13" bestFit="1" customWidth="1"/>
    <col min="13059" max="13059" width="17.09765625" style="13" bestFit="1" customWidth="1"/>
    <col min="13060" max="13060" width="14.796875" style="13" bestFit="1" customWidth="1"/>
    <col min="13061" max="13061" width="16.59765625" style="13" customWidth="1"/>
    <col min="13062" max="13062" width="16.296875" style="13" bestFit="1" customWidth="1"/>
    <col min="13063" max="13063" width="12.8984375" style="13" customWidth="1"/>
    <col min="13064" max="13064" width="10.5" style="13" customWidth="1"/>
    <col min="13065" max="13065" width="13.5" style="13" bestFit="1" customWidth="1"/>
    <col min="13066" max="13066" width="8.8984375" style="13" bestFit="1" customWidth="1"/>
    <col min="13067" max="13312" width="8.19921875" style="13"/>
    <col min="13313" max="13313" width="55.19921875" style="13" customWidth="1"/>
    <col min="13314" max="13314" width="16.796875" style="13" bestFit="1" customWidth="1"/>
    <col min="13315" max="13315" width="17.09765625" style="13" bestFit="1" customWidth="1"/>
    <col min="13316" max="13316" width="14.796875" style="13" bestFit="1" customWidth="1"/>
    <col min="13317" max="13317" width="16.59765625" style="13" customWidth="1"/>
    <col min="13318" max="13318" width="16.296875" style="13" bestFit="1" customWidth="1"/>
    <col min="13319" max="13319" width="12.8984375" style="13" customWidth="1"/>
    <col min="13320" max="13320" width="10.5" style="13" customWidth="1"/>
    <col min="13321" max="13321" width="13.5" style="13" bestFit="1" customWidth="1"/>
    <col min="13322" max="13322" width="8.8984375" style="13" bestFit="1" customWidth="1"/>
    <col min="13323" max="13568" width="8.19921875" style="13"/>
    <col min="13569" max="13569" width="55.19921875" style="13" customWidth="1"/>
    <col min="13570" max="13570" width="16.796875" style="13" bestFit="1" customWidth="1"/>
    <col min="13571" max="13571" width="17.09765625" style="13" bestFit="1" customWidth="1"/>
    <col min="13572" max="13572" width="14.796875" style="13" bestFit="1" customWidth="1"/>
    <col min="13573" max="13573" width="16.59765625" style="13" customWidth="1"/>
    <col min="13574" max="13574" width="16.296875" style="13" bestFit="1" customWidth="1"/>
    <col min="13575" max="13575" width="12.8984375" style="13" customWidth="1"/>
    <col min="13576" max="13576" width="10.5" style="13" customWidth="1"/>
    <col min="13577" max="13577" width="13.5" style="13" bestFit="1" customWidth="1"/>
    <col min="13578" max="13578" width="8.8984375" style="13" bestFit="1" customWidth="1"/>
    <col min="13579" max="13824" width="8.19921875" style="13"/>
    <col min="13825" max="13825" width="55.19921875" style="13" customWidth="1"/>
    <col min="13826" max="13826" width="16.796875" style="13" bestFit="1" customWidth="1"/>
    <col min="13827" max="13827" width="17.09765625" style="13" bestFit="1" customWidth="1"/>
    <col min="13828" max="13828" width="14.796875" style="13" bestFit="1" customWidth="1"/>
    <col min="13829" max="13829" width="16.59765625" style="13" customWidth="1"/>
    <col min="13830" max="13830" width="16.296875" style="13" bestFit="1" customWidth="1"/>
    <col min="13831" max="13831" width="12.8984375" style="13" customWidth="1"/>
    <col min="13832" max="13832" width="10.5" style="13" customWidth="1"/>
    <col min="13833" max="13833" width="13.5" style="13" bestFit="1" customWidth="1"/>
    <col min="13834" max="13834" width="8.8984375" style="13" bestFit="1" customWidth="1"/>
    <col min="13835" max="14080" width="8.19921875" style="13"/>
    <col min="14081" max="14081" width="55.19921875" style="13" customWidth="1"/>
    <col min="14082" max="14082" width="16.796875" style="13" bestFit="1" customWidth="1"/>
    <col min="14083" max="14083" width="17.09765625" style="13" bestFit="1" customWidth="1"/>
    <col min="14084" max="14084" width="14.796875" style="13" bestFit="1" customWidth="1"/>
    <col min="14085" max="14085" width="16.59765625" style="13" customWidth="1"/>
    <col min="14086" max="14086" width="16.296875" style="13" bestFit="1" customWidth="1"/>
    <col min="14087" max="14087" width="12.8984375" style="13" customWidth="1"/>
    <col min="14088" max="14088" width="10.5" style="13" customWidth="1"/>
    <col min="14089" max="14089" width="13.5" style="13" bestFit="1" customWidth="1"/>
    <col min="14090" max="14090" width="8.8984375" style="13" bestFit="1" customWidth="1"/>
    <col min="14091" max="14336" width="8.19921875" style="13"/>
    <col min="14337" max="14337" width="55.19921875" style="13" customWidth="1"/>
    <col min="14338" max="14338" width="16.796875" style="13" bestFit="1" customWidth="1"/>
    <col min="14339" max="14339" width="17.09765625" style="13" bestFit="1" customWidth="1"/>
    <col min="14340" max="14340" width="14.796875" style="13" bestFit="1" customWidth="1"/>
    <col min="14341" max="14341" width="16.59765625" style="13" customWidth="1"/>
    <col min="14342" max="14342" width="16.296875" style="13" bestFit="1" customWidth="1"/>
    <col min="14343" max="14343" width="12.8984375" style="13" customWidth="1"/>
    <col min="14344" max="14344" width="10.5" style="13" customWidth="1"/>
    <col min="14345" max="14345" width="13.5" style="13" bestFit="1" customWidth="1"/>
    <col min="14346" max="14346" width="8.8984375" style="13" bestFit="1" customWidth="1"/>
    <col min="14347" max="14592" width="8.19921875" style="13"/>
    <col min="14593" max="14593" width="55.19921875" style="13" customWidth="1"/>
    <col min="14594" max="14594" width="16.796875" style="13" bestFit="1" customWidth="1"/>
    <col min="14595" max="14595" width="17.09765625" style="13" bestFit="1" customWidth="1"/>
    <col min="14596" max="14596" width="14.796875" style="13" bestFit="1" customWidth="1"/>
    <col min="14597" max="14597" width="16.59765625" style="13" customWidth="1"/>
    <col min="14598" max="14598" width="16.296875" style="13" bestFit="1" customWidth="1"/>
    <col min="14599" max="14599" width="12.8984375" style="13" customWidth="1"/>
    <col min="14600" max="14600" width="10.5" style="13" customWidth="1"/>
    <col min="14601" max="14601" width="13.5" style="13" bestFit="1" customWidth="1"/>
    <col min="14602" max="14602" width="8.8984375" style="13" bestFit="1" customWidth="1"/>
    <col min="14603" max="14848" width="8.19921875" style="13"/>
    <col min="14849" max="14849" width="55.19921875" style="13" customWidth="1"/>
    <col min="14850" max="14850" width="16.796875" style="13" bestFit="1" customWidth="1"/>
    <col min="14851" max="14851" width="17.09765625" style="13" bestFit="1" customWidth="1"/>
    <col min="14852" max="14852" width="14.796875" style="13" bestFit="1" customWidth="1"/>
    <col min="14853" max="14853" width="16.59765625" style="13" customWidth="1"/>
    <col min="14854" max="14854" width="16.296875" style="13" bestFit="1" customWidth="1"/>
    <col min="14855" max="14855" width="12.8984375" style="13" customWidth="1"/>
    <col min="14856" max="14856" width="10.5" style="13" customWidth="1"/>
    <col min="14857" max="14857" width="13.5" style="13" bestFit="1" customWidth="1"/>
    <col min="14858" max="14858" width="8.8984375" style="13" bestFit="1" customWidth="1"/>
    <col min="14859" max="15104" width="8.19921875" style="13"/>
    <col min="15105" max="15105" width="55.19921875" style="13" customWidth="1"/>
    <col min="15106" max="15106" width="16.796875" style="13" bestFit="1" customWidth="1"/>
    <col min="15107" max="15107" width="17.09765625" style="13" bestFit="1" customWidth="1"/>
    <col min="15108" max="15108" width="14.796875" style="13" bestFit="1" customWidth="1"/>
    <col min="15109" max="15109" width="16.59765625" style="13" customWidth="1"/>
    <col min="15110" max="15110" width="16.296875" style="13" bestFit="1" customWidth="1"/>
    <col min="15111" max="15111" width="12.8984375" style="13" customWidth="1"/>
    <col min="15112" max="15112" width="10.5" style="13" customWidth="1"/>
    <col min="15113" max="15113" width="13.5" style="13" bestFit="1" customWidth="1"/>
    <col min="15114" max="15114" width="8.8984375" style="13" bestFit="1" customWidth="1"/>
    <col min="15115" max="15360" width="8.19921875" style="13"/>
    <col min="15361" max="15361" width="55.19921875" style="13" customWidth="1"/>
    <col min="15362" max="15362" width="16.796875" style="13" bestFit="1" customWidth="1"/>
    <col min="15363" max="15363" width="17.09765625" style="13" bestFit="1" customWidth="1"/>
    <col min="15364" max="15364" width="14.796875" style="13" bestFit="1" customWidth="1"/>
    <col min="15365" max="15365" width="16.59765625" style="13" customWidth="1"/>
    <col min="15366" max="15366" width="16.296875" style="13" bestFit="1" customWidth="1"/>
    <col min="15367" max="15367" width="12.8984375" style="13" customWidth="1"/>
    <col min="15368" max="15368" width="10.5" style="13" customWidth="1"/>
    <col min="15369" max="15369" width="13.5" style="13" bestFit="1" customWidth="1"/>
    <col min="15370" max="15370" width="8.8984375" style="13" bestFit="1" customWidth="1"/>
    <col min="15371" max="15616" width="8.19921875" style="13"/>
    <col min="15617" max="15617" width="55.19921875" style="13" customWidth="1"/>
    <col min="15618" max="15618" width="16.796875" style="13" bestFit="1" customWidth="1"/>
    <col min="15619" max="15619" width="17.09765625" style="13" bestFit="1" customWidth="1"/>
    <col min="15620" max="15620" width="14.796875" style="13" bestFit="1" customWidth="1"/>
    <col min="15621" max="15621" width="16.59765625" style="13" customWidth="1"/>
    <col min="15622" max="15622" width="16.296875" style="13" bestFit="1" customWidth="1"/>
    <col min="15623" max="15623" width="12.8984375" style="13" customWidth="1"/>
    <col min="15624" max="15624" width="10.5" style="13" customWidth="1"/>
    <col min="15625" max="15625" width="13.5" style="13" bestFit="1" customWidth="1"/>
    <col min="15626" max="15626" width="8.8984375" style="13" bestFit="1" customWidth="1"/>
    <col min="15627" max="15872" width="8.19921875" style="13"/>
    <col min="15873" max="15873" width="55.19921875" style="13" customWidth="1"/>
    <col min="15874" max="15874" width="16.796875" style="13" bestFit="1" customWidth="1"/>
    <col min="15875" max="15875" width="17.09765625" style="13" bestFit="1" customWidth="1"/>
    <col min="15876" max="15876" width="14.796875" style="13" bestFit="1" customWidth="1"/>
    <col min="15877" max="15877" width="16.59765625" style="13" customWidth="1"/>
    <col min="15878" max="15878" width="16.296875" style="13" bestFit="1" customWidth="1"/>
    <col min="15879" max="15879" width="12.8984375" style="13" customWidth="1"/>
    <col min="15880" max="15880" width="10.5" style="13" customWidth="1"/>
    <col min="15881" max="15881" width="13.5" style="13" bestFit="1" customWidth="1"/>
    <col min="15882" max="15882" width="8.8984375" style="13" bestFit="1" customWidth="1"/>
    <col min="15883" max="16128" width="8.19921875" style="13"/>
    <col min="16129" max="16129" width="55.19921875" style="13" customWidth="1"/>
    <col min="16130" max="16130" width="16.796875" style="13" bestFit="1" customWidth="1"/>
    <col min="16131" max="16131" width="17.09765625" style="13" bestFit="1" customWidth="1"/>
    <col min="16132" max="16132" width="14.796875" style="13" bestFit="1" customWidth="1"/>
    <col min="16133" max="16133" width="16.59765625" style="13" customWidth="1"/>
    <col min="16134" max="16134" width="16.296875" style="13" bestFit="1" customWidth="1"/>
    <col min="16135" max="16135" width="12.8984375" style="13" customWidth="1"/>
    <col min="16136" max="16136" width="10.5" style="13" customWidth="1"/>
    <col min="16137" max="16137" width="13.5" style="13" bestFit="1" customWidth="1"/>
    <col min="16138" max="16138" width="8.8984375" style="13" bestFit="1" customWidth="1"/>
    <col min="16139" max="16384" width="8.19921875" style="13"/>
  </cols>
  <sheetData>
    <row r="1" spans="1:9" s="3" customFormat="1" ht="23.4" x14ac:dyDescent="0.45">
      <c r="A1" s="563" t="s">
        <v>6</v>
      </c>
      <c r="B1" s="563"/>
      <c r="C1" s="563"/>
      <c r="D1" s="563"/>
      <c r="E1" s="563"/>
      <c r="F1" s="563"/>
      <c r="G1" s="563"/>
      <c r="H1" s="563"/>
      <c r="I1" s="563"/>
    </row>
    <row r="2" spans="1:9" s="3" customFormat="1" ht="23.4" x14ac:dyDescent="0.45">
      <c r="A2" s="563" t="s">
        <v>0</v>
      </c>
      <c r="B2" s="563"/>
      <c r="C2" s="563"/>
      <c r="D2" s="563"/>
      <c r="E2" s="563"/>
      <c r="F2" s="563"/>
      <c r="G2" s="563"/>
      <c r="H2" s="563"/>
      <c r="I2" s="563"/>
    </row>
    <row r="3" spans="1:9" s="3" customFormat="1" ht="23.4" x14ac:dyDescent="0.45">
      <c r="A3" s="563" t="s">
        <v>39</v>
      </c>
      <c r="B3" s="563"/>
      <c r="C3" s="563"/>
      <c r="D3" s="563"/>
      <c r="E3" s="563"/>
      <c r="F3" s="563"/>
      <c r="G3" s="563"/>
      <c r="H3" s="563"/>
      <c r="I3" s="563"/>
    </row>
    <row r="4" spans="1:9" s="3" customFormat="1" ht="23.4" x14ac:dyDescent="0.45">
      <c r="A4" s="108" t="s">
        <v>127</v>
      </c>
      <c r="G4" s="109"/>
    </row>
    <row r="5" spans="1:9" s="25" customFormat="1" ht="21" customHeight="1" x14ac:dyDescent="0.4">
      <c r="A5" s="110"/>
      <c r="G5" s="111"/>
      <c r="I5" s="112" t="s">
        <v>42</v>
      </c>
    </row>
    <row r="6" spans="1:9" s="113" customFormat="1" ht="21" customHeight="1" x14ac:dyDescent="0.4">
      <c r="A6" s="150" t="s">
        <v>128</v>
      </c>
      <c r="B6" s="151" t="s">
        <v>2</v>
      </c>
      <c r="C6" s="151" t="s">
        <v>3</v>
      </c>
      <c r="D6" s="151" t="s">
        <v>4</v>
      </c>
      <c r="E6" s="151" t="s">
        <v>92</v>
      </c>
      <c r="F6" s="151" t="s">
        <v>93</v>
      </c>
      <c r="G6" s="152" t="s">
        <v>94</v>
      </c>
      <c r="H6" s="151" t="s">
        <v>95</v>
      </c>
      <c r="I6" s="151" t="s">
        <v>96</v>
      </c>
    </row>
    <row r="7" spans="1:9" s="25" customFormat="1" ht="21" customHeight="1" x14ac:dyDescent="0.4">
      <c r="A7" s="133"/>
      <c r="B7" s="133"/>
      <c r="C7" s="133"/>
      <c r="D7" s="133"/>
      <c r="E7" s="133"/>
      <c r="F7" s="133"/>
      <c r="G7" s="153"/>
      <c r="H7" s="133"/>
      <c r="I7" s="133"/>
    </row>
    <row r="8" spans="1:9" s="25" customFormat="1" ht="21" customHeight="1" x14ac:dyDescent="0.4">
      <c r="A8" s="138" t="s">
        <v>129</v>
      </c>
      <c r="B8" s="114">
        <f>+'ตารางที่ 5 ส่ง'!B8+'ตารางที่ 5 ส่ง'!B9</f>
        <v>16565931.917860001</v>
      </c>
      <c r="C8" s="114">
        <f>+'ตารางที่ 5 ส่ง'!C8+'ตารางที่ 5 ส่ง'!C9</f>
        <v>34210.781799999997</v>
      </c>
      <c r="D8" s="114">
        <f>+'ตารางที่ 5 ส่ง'!D8+'ตารางที่ 5 ส่ง'!D9</f>
        <v>633080.47022999998</v>
      </c>
      <c r="E8" s="114">
        <f>+'ตารางที่ 5 ส่ง'!E8+'ตารางที่ 5 ส่ง'!E9</f>
        <v>1931467.0608349999</v>
      </c>
      <c r="F8" s="114">
        <f>+B8+C8+D8+E8</f>
        <v>19164690.230725002</v>
      </c>
      <c r="G8" s="154">
        <f>+'ตารางที่ 5 ส่ง'!G8+'ตารางที่ 5 ส่ง'!G9</f>
        <v>800</v>
      </c>
      <c r="H8" s="155" t="s">
        <v>100</v>
      </c>
      <c r="I8" s="139">
        <f>SUM(F8/G8)</f>
        <v>23955.862788406252</v>
      </c>
    </row>
    <row r="9" spans="1:9" x14ac:dyDescent="0.4">
      <c r="A9" s="142" t="s">
        <v>130</v>
      </c>
      <c r="B9" s="114">
        <f>+'ตารางที่ 5 ส่ง'!B10+'ตารางที่ 5 ส่ง'!B11</f>
        <v>442692672.94342798</v>
      </c>
      <c r="C9" s="114">
        <f>+'ตารางที่ 5 ส่ง'!C10+'ตารางที่ 5 ส่ง'!C11</f>
        <v>914217.35363999999</v>
      </c>
      <c r="D9" s="114">
        <f>+'ตารางที่ 5 ส่ง'!D10+'ตารางที่ 5 ส่ง'!D11</f>
        <v>16917858.104454</v>
      </c>
      <c r="E9" s="114">
        <f>+'ตารางที่ 5 ส่ง'!E10+'ตารางที่ 5 ส่ง'!E11</f>
        <v>51614742.84108299</v>
      </c>
      <c r="F9" s="114">
        <f t="shared" ref="F9:F25" si="0">+B9+C9+D9+E9</f>
        <v>512139491.24260497</v>
      </c>
      <c r="G9" s="118">
        <v>117597</v>
      </c>
      <c r="H9" s="156" t="s">
        <v>100</v>
      </c>
      <c r="I9" s="139">
        <f t="shared" ref="I9:I25" si="1">SUM(F9/G9)</f>
        <v>4355.0387445479473</v>
      </c>
    </row>
    <row r="10" spans="1:9" x14ac:dyDescent="0.4">
      <c r="A10" s="143" t="s">
        <v>131</v>
      </c>
      <c r="B10" s="114">
        <f>+'ตารางที่ 5 ส่ง'!B12</f>
        <v>159032946.41145602</v>
      </c>
      <c r="C10" s="114">
        <f>+'ตารางที่ 5 ส่ง'!C12</f>
        <v>328423.50527999998</v>
      </c>
      <c r="D10" s="114">
        <f>+'ตารางที่ 5 ส่ง'!D12</f>
        <v>6077572.5142080011</v>
      </c>
      <c r="E10" s="114">
        <f>+'ตารางที่ 5 ส่ง'!E12</f>
        <v>18542083.784015998</v>
      </c>
      <c r="F10" s="114">
        <f t="shared" si="0"/>
        <v>183981026.21495998</v>
      </c>
      <c r="G10" s="118">
        <v>10939</v>
      </c>
      <c r="H10" s="156" t="s">
        <v>100</v>
      </c>
      <c r="I10" s="139">
        <f t="shared" si="1"/>
        <v>16818.815816341528</v>
      </c>
    </row>
    <row r="11" spans="1:9" x14ac:dyDescent="0.4">
      <c r="A11" s="159" t="s">
        <v>132</v>
      </c>
      <c r="B11" s="114">
        <f>+'ตารางที่ 5 ส่ง'!B13+'ตารางที่ 5 ส่ง'!B15</f>
        <v>7136093.7492320007</v>
      </c>
      <c r="C11" s="114">
        <f>+'ตารางที่ 5 ส่ง'!C13+'ตารางที่ 5 ส่ง'!C15</f>
        <v>14736.952160000001</v>
      </c>
      <c r="D11" s="114">
        <f>+'ตารางที่ 5 ส่ง'!D13+'ตารางที่ 5 ส่ง'!D15</f>
        <v>272711.587176</v>
      </c>
      <c r="E11" s="114">
        <f>+'ตารางที่ 5 ส่ง'!E13+'ตารางที่ 5 ส่ง'!E15</f>
        <v>832016.58005199989</v>
      </c>
      <c r="F11" s="114">
        <f t="shared" si="0"/>
        <v>8255558.8686199998</v>
      </c>
      <c r="G11" s="118">
        <v>70</v>
      </c>
      <c r="H11" s="156" t="s">
        <v>342</v>
      </c>
      <c r="I11" s="139">
        <f t="shared" si="1"/>
        <v>117936.555266</v>
      </c>
    </row>
    <row r="12" spans="1:9" x14ac:dyDescent="0.4">
      <c r="A12" s="160" t="s">
        <v>133</v>
      </c>
      <c r="B12" s="114">
        <f>+'ตารางที่ 5 ส่ง'!B16</f>
        <v>62695680.796824001</v>
      </c>
      <c r="C12" s="114">
        <f>+'ตารางที่ 5 ส่ง'!C16</f>
        <v>129474.65111999999</v>
      </c>
      <c r="D12" s="114">
        <f>+'ตารางที่ 5 ส่ง'!D16</f>
        <v>2395966.087332</v>
      </c>
      <c r="E12" s="114">
        <f>+'ตารางที่ 5 ส่ง'!E16</f>
        <v>7309859.9533139989</v>
      </c>
      <c r="F12" s="114">
        <f t="shared" si="0"/>
        <v>72530981.488590002</v>
      </c>
      <c r="G12" s="157">
        <v>12479</v>
      </c>
      <c r="H12" s="158" t="s">
        <v>100</v>
      </c>
      <c r="I12" s="139">
        <f t="shared" si="1"/>
        <v>5812.2430874741567</v>
      </c>
    </row>
    <row r="13" spans="1:9" x14ac:dyDescent="0.4">
      <c r="A13" s="160" t="s">
        <v>344</v>
      </c>
      <c r="B13" s="114">
        <f>+'ตารางที่ 5 ส่ง'!B17</f>
        <v>46384609.370007999</v>
      </c>
      <c r="C13" s="114">
        <f>+'ตารางที่ 5 ส่ง'!C17</f>
        <v>95790.189040000012</v>
      </c>
      <c r="D13" s="114">
        <f>+'ตารางที่ 5 ส่ง'!D17</f>
        <v>1772625.3166440001</v>
      </c>
      <c r="E13" s="114">
        <f>+'ตารางที่ 5 ส่ง'!E17</f>
        <v>5408107.7703379998</v>
      </c>
      <c r="F13" s="114">
        <f t="shared" si="0"/>
        <v>53661132.646029994</v>
      </c>
      <c r="G13" s="157">
        <v>11869</v>
      </c>
      <c r="H13" s="156" t="s">
        <v>100</v>
      </c>
      <c r="I13" s="139">
        <f t="shared" si="1"/>
        <v>4521.1165764622119</v>
      </c>
    </row>
    <row r="14" spans="1:9" x14ac:dyDescent="0.4">
      <c r="A14" s="140" t="s">
        <v>134</v>
      </c>
      <c r="B14" s="114">
        <f>+'ตารางที่ 5 ส่ง'!B18</f>
        <v>1274302.4552200001</v>
      </c>
      <c r="C14" s="114">
        <f>+'ตารางที่ 5 ส่ง'!C18</f>
        <v>2631.5986000000003</v>
      </c>
      <c r="D14" s="114">
        <f>+'ตารางที่ 5 ส่ง'!D18</f>
        <v>48698.497710000003</v>
      </c>
      <c r="E14" s="114">
        <f>+'ตารางที่ 5 ส่ง'!E18</f>
        <v>148574.389295</v>
      </c>
      <c r="F14" s="114">
        <f t="shared" si="0"/>
        <v>1474206.9408249999</v>
      </c>
      <c r="G14" s="157">
        <v>3</v>
      </c>
      <c r="H14" s="156" t="s">
        <v>104</v>
      </c>
      <c r="I14" s="139">
        <f t="shared" si="1"/>
        <v>491402.31360833329</v>
      </c>
    </row>
    <row r="15" spans="1:9" x14ac:dyDescent="0.4">
      <c r="A15" s="141" t="s">
        <v>135</v>
      </c>
      <c r="B15" s="114">
        <f>+'ตารางที่ 5 ส่ง'!B19</f>
        <v>8920117.1865400001</v>
      </c>
      <c r="C15" s="114">
        <f>+'ตารางที่ 5 ส่ง'!C19</f>
        <v>18421.190200000001</v>
      </c>
      <c r="D15" s="114">
        <f>+'ตารางที่ 5 ส่ง'!D19</f>
        <v>340889.48397</v>
      </c>
      <c r="E15" s="114">
        <f>+'ตารางที่ 5 ส่ง'!E19</f>
        <v>1040020.7250649999</v>
      </c>
      <c r="F15" s="114">
        <f t="shared" si="0"/>
        <v>10319448.585774999</v>
      </c>
      <c r="G15" s="157">
        <f>'ตารางที่ 5 ส่ง'!G19</f>
        <v>25924</v>
      </c>
      <c r="H15" s="156" t="s">
        <v>100</v>
      </c>
      <c r="I15" s="139">
        <f t="shared" si="1"/>
        <v>398.06544459863443</v>
      </c>
    </row>
    <row r="16" spans="1:9" ht="21" customHeight="1" x14ac:dyDescent="0.4">
      <c r="A16" s="141" t="s">
        <v>136</v>
      </c>
      <c r="B16" s="114">
        <f>+'ตารางที่ 5 ส่ง'!B20</f>
        <v>13762466.516376002</v>
      </c>
      <c r="C16" s="114">
        <f>+'ตารางที่ 5 ส่ง'!C20</f>
        <v>28421.264880000002</v>
      </c>
      <c r="D16" s="114">
        <f>+'ตารางที่ 5 ส่ง'!D20</f>
        <v>525943.77526800008</v>
      </c>
      <c r="E16" s="114">
        <f>+'ตารางที่ 5 ส่ง'!E20</f>
        <v>1604603.404386</v>
      </c>
      <c r="F16" s="114">
        <f t="shared" si="0"/>
        <v>15921434.960910002</v>
      </c>
      <c r="G16" s="157">
        <v>4063</v>
      </c>
      <c r="H16" s="156" t="s">
        <v>100</v>
      </c>
      <c r="I16" s="139">
        <f t="shared" si="1"/>
        <v>3918.6401577430474</v>
      </c>
    </row>
    <row r="17" spans="1:9" ht="21" customHeight="1" x14ac:dyDescent="0.4">
      <c r="A17" s="141" t="s">
        <v>137</v>
      </c>
      <c r="B17" s="114">
        <f>+'ตารางที่ 5 ส่ง'!B21+'ตารางที่ 5 ส่ง'!B22+'ตารางที่ 5 ส่ง'!B23+'ตารางที่ 5 ส่ง'!B24</f>
        <v>230393883.90377599</v>
      </c>
      <c r="C17" s="114">
        <f>+'ตารางที่ 5 ส่ง'!C21+'ตารางที่ 5 ส่ง'!C22+'ตารางที่ 5 ส่ง'!C23+'ตารางที่ 5 ส่ง'!C24</f>
        <v>475793.02688000002</v>
      </c>
      <c r="D17" s="114">
        <f>+'ตารางที่ 5 ส่ง'!D21+'ตารางที่ 5 ส่ง'!D22+'ตารางที่ 5 ส่ง'!D23+'ตารางที่ 5 ส่ง'!D24</f>
        <v>8804688.3859679997</v>
      </c>
      <c r="E17" s="114">
        <f>+'ตารางที่ 5 ส่ง'!E21+'ตารางที่ 5 ส่ง'!E22+'ตารางที่ 5 ส่ง'!E23+'ตารางที่ 5 ส่ง'!E24</f>
        <v>26862249.584535997</v>
      </c>
      <c r="F17" s="114">
        <f t="shared" si="0"/>
        <v>266536614.90115997</v>
      </c>
      <c r="G17" s="115">
        <v>42278</v>
      </c>
      <c r="H17" s="155" t="s">
        <v>100</v>
      </c>
      <c r="I17" s="139">
        <f t="shared" si="1"/>
        <v>6304.3808813368651</v>
      </c>
    </row>
    <row r="18" spans="1:9" ht="42" x14ac:dyDescent="0.4">
      <c r="A18" s="144" t="s">
        <v>138</v>
      </c>
      <c r="B18" s="114">
        <f>+'ตารางที่ 5 ส่ง'!B25</f>
        <v>27524933.032752004</v>
      </c>
      <c r="C18" s="114">
        <f>+'ตารางที่ 5 ส่ง'!C25</f>
        <v>56842.529760000005</v>
      </c>
      <c r="D18" s="114">
        <f>+'ตารางที่ 5 ส่ง'!D25</f>
        <v>1051887.5505360002</v>
      </c>
      <c r="E18" s="114">
        <f>+'ตารางที่ 5 ส่ง'!E25</f>
        <v>3209206.808772</v>
      </c>
      <c r="F18" s="114">
        <f t="shared" si="0"/>
        <v>31842869.921820004</v>
      </c>
      <c r="G18" s="157">
        <v>2003</v>
      </c>
      <c r="H18" s="158" t="s">
        <v>100</v>
      </c>
      <c r="I18" s="114">
        <f t="shared" si="1"/>
        <v>15897.588578042938</v>
      </c>
    </row>
    <row r="19" spans="1:9" hidden="1" x14ac:dyDescent="0.4">
      <c r="A19" s="161" t="s">
        <v>345</v>
      </c>
      <c r="B19" s="130">
        <f>+'ตารางที่ 5 ส่ง'!B26</f>
        <v>0</v>
      </c>
      <c r="C19" s="130">
        <f>+'ตารางที่ 5 ส่ง'!C26</f>
        <v>0</v>
      </c>
      <c r="D19" s="130">
        <f>+'ตารางที่ 5 ส่ง'!D26</f>
        <v>0</v>
      </c>
      <c r="E19" s="130">
        <f>+'ตารางที่ 5 ส่ง'!E26</f>
        <v>0</v>
      </c>
      <c r="F19" s="114">
        <f t="shared" si="0"/>
        <v>0</v>
      </c>
      <c r="G19" s="157">
        <v>2449</v>
      </c>
      <c r="H19" s="163" t="s">
        <v>100</v>
      </c>
      <c r="I19" s="114">
        <f t="shared" si="1"/>
        <v>0</v>
      </c>
    </row>
    <row r="20" spans="1:9" x14ac:dyDescent="0.4">
      <c r="A20" s="164" t="s">
        <v>363</v>
      </c>
      <c r="B20" s="130">
        <f>+'ตารางที่ 5 ส่ง'!B27+'ตารางที่ 5 ส่ง'!B28+'ตารางที่ 5 ส่ง'!B29+'ตารางที่ 5 ส่ง'!B30+'ตารางที่ 5 ส่ง'!B31</f>
        <v>547950055.74459994</v>
      </c>
      <c r="C20" s="130">
        <f>+'ตารางที่ 5 ส่ง'!C27+'ตารางที่ 5 ส่ง'!C28+'ตารางที่ 5 ส่ง'!C29+'ตารางที่ 5 ส่ง'!C30+'ตารางที่ 5 ส่ง'!C31</f>
        <v>1131587.398</v>
      </c>
      <c r="D20" s="130">
        <f>+'ตารางที่ 5 ส่ง'!D27+'ตารางที่ 5 ส่ง'!D28+'ตารางที่ 5 ส่ง'!D29+'ตารางที่ 5 ส่ง'!D30+'ตารางที่ 5 ส่ง'!D31</f>
        <v>20940354.015300002</v>
      </c>
      <c r="E20" s="130">
        <f>+'ตารางที่ 5 ส่ง'!E27+'ตารางที่ 5 ส่ง'!E28+'ตารางที่ 5 ส่ง'!E29+'ตารางที่ 5 ส่ง'!E30+'ตารางที่ 5 ส่ง'!E31</f>
        <v>63886987.39684999</v>
      </c>
      <c r="F20" s="114">
        <f t="shared" si="0"/>
        <v>633908984.55474997</v>
      </c>
      <c r="G20" s="157">
        <f>5+114+21+35+4391901</f>
        <v>4392076</v>
      </c>
      <c r="H20" s="163" t="s">
        <v>343</v>
      </c>
      <c r="I20" s="114">
        <f t="shared" si="1"/>
        <v>144.33014924030229</v>
      </c>
    </row>
    <row r="21" spans="1:9" x14ac:dyDescent="0.4">
      <c r="A21" s="164" t="s">
        <v>364</v>
      </c>
      <c r="B21" s="130">
        <f>+'ตารางที่ 5 ส่ง'!B32</f>
        <v>73909542.402759999</v>
      </c>
      <c r="C21" s="130">
        <f>+'ตารางที่ 5 ส่ง'!C32</f>
        <v>152632.7188</v>
      </c>
      <c r="D21" s="130">
        <f>+'ตารางที่ 5 ส่ง'!D32</f>
        <v>2824512.8671800001</v>
      </c>
      <c r="E21" s="130">
        <f>+'ตารางที่ 5 ส่ง'!E32</f>
        <v>8617314.5791099984</v>
      </c>
      <c r="F21" s="114">
        <f t="shared" si="0"/>
        <v>85504002.567849994</v>
      </c>
      <c r="G21" s="157">
        <v>31569</v>
      </c>
      <c r="H21" s="163" t="s">
        <v>100</v>
      </c>
      <c r="I21" s="114">
        <f t="shared" si="1"/>
        <v>2708.4799191564507</v>
      </c>
    </row>
    <row r="22" spans="1:9" x14ac:dyDescent="0.4">
      <c r="A22" s="161" t="s">
        <v>365</v>
      </c>
      <c r="B22" s="130">
        <f>+'ตารางที่ 5 ส่ง'!B33</f>
        <v>25740909.595444001</v>
      </c>
      <c r="C22" s="130">
        <f>+'ตารางที่ 5 ส่ง'!C33</f>
        <v>53158.291720000001</v>
      </c>
      <c r="D22" s="130">
        <f>+'ตารางที่ 5 ส่ง'!D33</f>
        <v>983709.65374199999</v>
      </c>
      <c r="E22" s="130">
        <f>+'ตารางที่ 5 ส่ง'!E33</f>
        <v>3001202.6637589997</v>
      </c>
      <c r="F22" s="114">
        <f t="shared" si="0"/>
        <v>29778980.204665001</v>
      </c>
      <c r="G22" s="157">
        <v>8200</v>
      </c>
      <c r="H22" s="163" t="s">
        <v>100</v>
      </c>
      <c r="I22" s="114">
        <f t="shared" si="1"/>
        <v>3631.5829517884149</v>
      </c>
    </row>
    <row r="23" spans="1:9" ht="42" x14ac:dyDescent="0.4">
      <c r="A23" s="161" t="s">
        <v>366</v>
      </c>
      <c r="B23" s="130">
        <f>+'ตารางที่ 5 ส่ง'!B34</f>
        <v>764581.47313199996</v>
      </c>
      <c r="C23" s="130">
        <f>+'ตารางที่ 5 ส่ง'!C34</f>
        <v>1578.9591599999999</v>
      </c>
      <c r="D23" s="130">
        <f>+'ตารางที่ 5 ส่ง'!D34</f>
        <v>29219.098626000003</v>
      </c>
      <c r="E23" s="130">
        <f>+'ตารางที่ 5 ส่ง'!E34</f>
        <v>89144.633577000001</v>
      </c>
      <c r="F23" s="114">
        <f t="shared" si="0"/>
        <v>884524.16449499992</v>
      </c>
      <c r="G23" s="157">
        <f>+'ตารางที่ 5 ส่ง'!G34</f>
        <v>170</v>
      </c>
      <c r="H23" s="163" t="s">
        <v>100</v>
      </c>
      <c r="I23" s="114">
        <f t="shared" si="1"/>
        <v>5203.0833205588233</v>
      </c>
    </row>
    <row r="24" spans="1:9" ht="42" x14ac:dyDescent="0.4">
      <c r="A24" s="161" t="s">
        <v>367</v>
      </c>
      <c r="B24" s="130">
        <f>+'ตารางที่ 5 ส่ง'!B35</f>
        <v>94808102.668368012</v>
      </c>
      <c r="C24" s="130">
        <f>+'ตารางที่ 5 ส่ง'!C35</f>
        <v>195790.93584000002</v>
      </c>
      <c r="D24" s="130">
        <f>+'ตารางที่ 5 ส่ง'!D35</f>
        <v>3623168.2296240004</v>
      </c>
      <c r="E24" s="130">
        <f>+'ตารางที่ 5 ส่ง'!E35</f>
        <v>11053934.563548001</v>
      </c>
      <c r="F24" s="114">
        <f t="shared" si="0"/>
        <v>109680996.39738001</v>
      </c>
      <c r="G24" s="157">
        <v>10939</v>
      </c>
      <c r="H24" s="163" t="s">
        <v>100</v>
      </c>
      <c r="I24" s="114">
        <f t="shared" si="1"/>
        <v>10026.601736665143</v>
      </c>
    </row>
    <row r="25" spans="1:9" x14ac:dyDescent="0.4">
      <c r="A25" s="161" t="s">
        <v>368</v>
      </c>
      <c r="B25" s="130">
        <f>+'ตารางที่ 5 ส่ง'!B36+'ตารางที่ 5 ส่ง'!B37</f>
        <v>789048080.27222407</v>
      </c>
      <c r="C25" s="130">
        <f>+'ตารางที่ 5 ส่ง'!C36+'ตารางที่ 5 ส่ง'!C37</f>
        <v>1629485.8531200001</v>
      </c>
      <c r="D25" s="130">
        <f>+'ตารางที่ 5 ส่ง'!D36+'ตารางที่ 5 ส่ง'!D37</f>
        <v>30154109.782032002</v>
      </c>
      <c r="E25" s="130">
        <f>+'ตารางที่ 5 ส่ง'!E36+'ตารางที่ 5 ส่ง'!E37</f>
        <v>91997261.851464003</v>
      </c>
      <c r="F25" s="114">
        <f t="shared" si="0"/>
        <v>912828937.75884008</v>
      </c>
      <c r="G25" s="162">
        <f>270230+11607</f>
        <v>281837</v>
      </c>
      <c r="H25" s="163" t="s">
        <v>100</v>
      </c>
      <c r="I25" s="114">
        <f t="shared" si="1"/>
        <v>3238.8541524315119</v>
      </c>
    </row>
    <row r="26" spans="1:9" s="25" customFormat="1" ht="21.6" thickBot="1" x14ac:dyDescent="0.45">
      <c r="A26" s="121" t="s">
        <v>17</v>
      </c>
      <c r="B26" s="122">
        <f t="shared" ref="B26:G26" si="2">SUM(B8:B25)</f>
        <v>2548604910.4400001</v>
      </c>
      <c r="C26" s="122">
        <f t="shared" si="2"/>
        <v>5263197.2</v>
      </c>
      <c r="D26" s="122">
        <f t="shared" si="2"/>
        <v>97396995.419999987</v>
      </c>
      <c r="E26" s="122">
        <f t="shared" si="2"/>
        <v>297148778.58999991</v>
      </c>
      <c r="F26" s="122">
        <f t="shared" si="2"/>
        <v>2948413881.6499996</v>
      </c>
      <c r="G26" s="521">
        <f t="shared" si="2"/>
        <v>4955265</v>
      </c>
      <c r="H26" s="121"/>
      <c r="I26" s="122">
        <f>+F26/G26</f>
        <v>595.00629767530086</v>
      </c>
    </row>
    <row r="27" spans="1:9" ht="21" customHeight="1" thickTop="1" x14ac:dyDescent="0.4"/>
  </sheetData>
  <mergeCells count="3">
    <mergeCell ref="A1:I1"/>
    <mergeCell ref="A2:I2"/>
    <mergeCell ref="A3:I3"/>
  </mergeCells>
  <pageMargins left="0.51181102362204722" right="0.11811023622047245" top="0.35433070866141736" bottom="0.35433070866141736" header="0.31496062992125984" footer="0.31496062992125984"/>
  <pageSetup paperSize="9" scale="70" orientation="landscape" r:id="rId1"/>
  <headerFooter>
    <oddHeader>&amp;R8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T93"/>
  <sheetViews>
    <sheetView topLeftCell="A9" workbookViewId="0">
      <pane xSplit="1" ySplit="6" topLeftCell="M24" activePane="bottomRight" state="frozen"/>
      <selection activeCell="A9" sqref="A9"/>
      <selection pane="topRight" activeCell="B9" sqref="B9"/>
      <selection pane="bottomLeft" activeCell="A15" sqref="A15"/>
      <selection pane="bottomRight" activeCell="Q87" sqref="Q87"/>
    </sheetView>
  </sheetViews>
  <sheetFormatPr defaultColWidth="8.19921875" defaultRowHeight="21" x14ac:dyDescent="0.4"/>
  <cols>
    <col min="1" max="1" width="48.796875" style="302" customWidth="1"/>
    <col min="2" max="2" width="16.796875" style="302" customWidth="1"/>
    <col min="3" max="4" width="14.796875" style="302" customWidth="1"/>
    <col min="5" max="5" width="15.796875" style="302" customWidth="1"/>
    <col min="6" max="6" width="16.5" style="302" customWidth="1"/>
    <col min="7" max="7" width="13.796875" style="365" customWidth="1"/>
    <col min="8" max="8" width="14.69921875" style="302" customWidth="1"/>
    <col min="9" max="9" width="15.09765625" style="302" customWidth="1"/>
    <col min="10" max="10" width="16.8984375" style="302" customWidth="1"/>
    <col min="11" max="11" width="13.3984375" style="302" customWidth="1"/>
    <col min="12" max="13" width="14.796875" style="302" customWidth="1"/>
    <col min="14" max="14" width="17.09765625" style="302" customWidth="1"/>
    <col min="15" max="15" width="16.3984375" style="302" customWidth="1"/>
    <col min="16" max="16" width="12.5" style="302" customWidth="1"/>
    <col min="17" max="17" width="13.796875" style="363" customWidth="1"/>
    <col min="18" max="18" width="11.8984375" style="366" customWidth="1"/>
    <col min="19" max="19" width="12.19921875" style="302" customWidth="1"/>
    <col min="20" max="20" width="12.796875" style="302" customWidth="1"/>
    <col min="21" max="256" width="8.19921875" style="302"/>
    <col min="257" max="257" width="52.296875" style="302" customWidth="1"/>
    <col min="258" max="258" width="18.59765625" style="302" customWidth="1"/>
    <col min="259" max="259" width="20.296875" style="302" customWidth="1"/>
    <col min="260" max="260" width="20.59765625" style="302" customWidth="1"/>
    <col min="261" max="261" width="15.796875" style="302" customWidth="1"/>
    <col min="262" max="262" width="16.5" style="302" customWidth="1"/>
    <col min="263" max="263" width="12.69921875" style="302" customWidth="1"/>
    <col min="264" max="264" width="22.796875" style="302" customWidth="1"/>
    <col min="265" max="265" width="15.796875" style="302" customWidth="1"/>
    <col min="266" max="266" width="16.296875" style="302" customWidth="1"/>
    <col min="267" max="267" width="14.09765625" style="302" customWidth="1"/>
    <col min="268" max="269" width="15.19921875" style="302" customWidth="1"/>
    <col min="270" max="270" width="18.3984375" style="302" customWidth="1"/>
    <col min="271" max="271" width="13.8984375" style="302" customWidth="1"/>
    <col min="272" max="272" width="18.8984375" style="302" customWidth="1"/>
    <col min="273" max="273" width="20.3984375" style="302" customWidth="1"/>
    <col min="274" max="274" width="21.09765625" style="302" customWidth="1"/>
    <col min="275" max="275" width="18.5" style="302" customWidth="1"/>
    <col min="276" max="276" width="19" style="302" customWidth="1"/>
    <col min="277" max="512" width="8.19921875" style="302"/>
    <col min="513" max="513" width="52.296875" style="302" customWidth="1"/>
    <col min="514" max="514" width="18.59765625" style="302" customWidth="1"/>
    <col min="515" max="515" width="20.296875" style="302" customWidth="1"/>
    <col min="516" max="516" width="20.59765625" style="302" customWidth="1"/>
    <col min="517" max="517" width="15.796875" style="302" customWidth="1"/>
    <col min="518" max="518" width="16.5" style="302" customWidth="1"/>
    <col min="519" max="519" width="12.69921875" style="302" customWidth="1"/>
    <col min="520" max="520" width="22.796875" style="302" customWidth="1"/>
    <col min="521" max="521" width="15.796875" style="302" customWidth="1"/>
    <col min="522" max="522" width="16.296875" style="302" customWidth="1"/>
    <col min="523" max="523" width="14.09765625" style="302" customWidth="1"/>
    <col min="524" max="525" width="15.19921875" style="302" customWidth="1"/>
    <col min="526" max="526" width="18.3984375" style="302" customWidth="1"/>
    <col min="527" max="527" width="13.8984375" style="302" customWidth="1"/>
    <col min="528" max="528" width="18.8984375" style="302" customWidth="1"/>
    <col min="529" max="529" width="20.3984375" style="302" customWidth="1"/>
    <col min="530" max="530" width="21.09765625" style="302" customWidth="1"/>
    <col min="531" max="531" width="18.5" style="302" customWidth="1"/>
    <col min="532" max="532" width="19" style="302" customWidth="1"/>
    <col min="533" max="768" width="8.19921875" style="302"/>
    <col min="769" max="769" width="52.296875" style="302" customWidth="1"/>
    <col min="770" max="770" width="18.59765625" style="302" customWidth="1"/>
    <col min="771" max="771" width="20.296875" style="302" customWidth="1"/>
    <col min="772" max="772" width="20.59765625" style="302" customWidth="1"/>
    <col min="773" max="773" width="15.796875" style="302" customWidth="1"/>
    <col min="774" max="774" width="16.5" style="302" customWidth="1"/>
    <col min="775" max="775" width="12.69921875" style="302" customWidth="1"/>
    <col min="776" max="776" width="22.796875" style="302" customWidth="1"/>
    <col min="777" max="777" width="15.796875" style="302" customWidth="1"/>
    <col min="778" max="778" width="16.296875" style="302" customWidth="1"/>
    <col min="779" max="779" width="14.09765625" style="302" customWidth="1"/>
    <col min="780" max="781" width="15.19921875" style="302" customWidth="1"/>
    <col min="782" max="782" width="18.3984375" style="302" customWidth="1"/>
    <col min="783" max="783" width="13.8984375" style="302" customWidth="1"/>
    <col min="784" max="784" width="18.8984375" style="302" customWidth="1"/>
    <col min="785" max="785" width="20.3984375" style="302" customWidth="1"/>
    <col min="786" max="786" width="21.09765625" style="302" customWidth="1"/>
    <col min="787" max="787" width="18.5" style="302" customWidth="1"/>
    <col min="788" max="788" width="19" style="302" customWidth="1"/>
    <col min="789" max="1024" width="8.19921875" style="302"/>
    <col min="1025" max="1025" width="52.296875" style="302" customWidth="1"/>
    <col min="1026" max="1026" width="18.59765625" style="302" customWidth="1"/>
    <col min="1027" max="1027" width="20.296875" style="302" customWidth="1"/>
    <col min="1028" max="1028" width="20.59765625" style="302" customWidth="1"/>
    <col min="1029" max="1029" width="15.796875" style="302" customWidth="1"/>
    <col min="1030" max="1030" width="16.5" style="302" customWidth="1"/>
    <col min="1031" max="1031" width="12.69921875" style="302" customWidth="1"/>
    <col min="1032" max="1032" width="22.796875" style="302" customWidth="1"/>
    <col min="1033" max="1033" width="15.796875" style="302" customWidth="1"/>
    <col min="1034" max="1034" width="16.296875" style="302" customWidth="1"/>
    <col min="1035" max="1035" width="14.09765625" style="302" customWidth="1"/>
    <col min="1036" max="1037" width="15.19921875" style="302" customWidth="1"/>
    <col min="1038" max="1038" width="18.3984375" style="302" customWidth="1"/>
    <col min="1039" max="1039" width="13.8984375" style="302" customWidth="1"/>
    <col min="1040" max="1040" width="18.8984375" style="302" customWidth="1"/>
    <col min="1041" max="1041" width="20.3984375" style="302" customWidth="1"/>
    <col min="1042" max="1042" width="21.09765625" style="302" customWidth="1"/>
    <col min="1043" max="1043" width="18.5" style="302" customWidth="1"/>
    <col min="1044" max="1044" width="19" style="302" customWidth="1"/>
    <col min="1045" max="1280" width="8.19921875" style="302"/>
    <col min="1281" max="1281" width="52.296875" style="302" customWidth="1"/>
    <col min="1282" max="1282" width="18.59765625" style="302" customWidth="1"/>
    <col min="1283" max="1283" width="20.296875" style="302" customWidth="1"/>
    <col min="1284" max="1284" width="20.59765625" style="302" customWidth="1"/>
    <col min="1285" max="1285" width="15.796875" style="302" customWidth="1"/>
    <col min="1286" max="1286" width="16.5" style="302" customWidth="1"/>
    <col min="1287" max="1287" width="12.69921875" style="302" customWidth="1"/>
    <col min="1288" max="1288" width="22.796875" style="302" customWidth="1"/>
    <col min="1289" max="1289" width="15.796875" style="302" customWidth="1"/>
    <col min="1290" max="1290" width="16.296875" style="302" customWidth="1"/>
    <col min="1291" max="1291" width="14.09765625" style="302" customWidth="1"/>
    <col min="1292" max="1293" width="15.19921875" style="302" customWidth="1"/>
    <col min="1294" max="1294" width="18.3984375" style="302" customWidth="1"/>
    <col min="1295" max="1295" width="13.8984375" style="302" customWidth="1"/>
    <col min="1296" max="1296" width="18.8984375" style="302" customWidth="1"/>
    <col min="1297" max="1297" width="20.3984375" style="302" customWidth="1"/>
    <col min="1298" max="1298" width="21.09765625" style="302" customWidth="1"/>
    <col min="1299" max="1299" width="18.5" style="302" customWidth="1"/>
    <col min="1300" max="1300" width="19" style="302" customWidth="1"/>
    <col min="1301" max="1536" width="8.19921875" style="302"/>
    <col min="1537" max="1537" width="52.296875" style="302" customWidth="1"/>
    <col min="1538" max="1538" width="18.59765625" style="302" customWidth="1"/>
    <col min="1539" max="1539" width="20.296875" style="302" customWidth="1"/>
    <col min="1540" max="1540" width="20.59765625" style="302" customWidth="1"/>
    <col min="1541" max="1541" width="15.796875" style="302" customWidth="1"/>
    <col min="1542" max="1542" width="16.5" style="302" customWidth="1"/>
    <col min="1543" max="1543" width="12.69921875" style="302" customWidth="1"/>
    <col min="1544" max="1544" width="22.796875" style="302" customWidth="1"/>
    <col min="1545" max="1545" width="15.796875" style="302" customWidth="1"/>
    <col min="1546" max="1546" width="16.296875" style="302" customWidth="1"/>
    <col min="1547" max="1547" width="14.09765625" style="302" customWidth="1"/>
    <col min="1548" max="1549" width="15.19921875" style="302" customWidth="1"/>
    <col min="1550" max="1550" width="18.3984375" style="302" customWidth="1"/>
    <col min="1551" max="1551" width="13.8984375" style="302" customWidth="1"/>
    <col min="1552" max="1552" width="18.8984375" style="302" customWidth="1"/>
    <col min="1553" max="1553" width="20.3984375" style="302" customWidth="1"/>
    <col min="1554" max="1554" width="21.09765625" style="302" customWidth="1"/>
    <col min="1555" max="1555" width="18.5" style="302" customWidth="1"/>
    <col min="1556" max="1556" width="19" style="302" customWidth="1"/>
    <col min="1557" max="1792" width="8.19921875" style="302"/>
    <col min="1793" max="1793" width="52.296875" style="302" customWidth="1"/>
    <col min="1794" max="1794" width="18.59765625" style="302" customWidth="1"/>
    <col min="1795" max="1795" width="20.296875" style="302" customWidth="1"/>
    <col min="1796" max="1796" width="20.59765625" style="302" customWidth="1"/>
    <col min="1797" max="1797" width="15.796875" style="302" customWidth="1"/>
    <col min="1798" max="1798" width="16.5" style="302" customWidth="1"/>
    <col min="1799" max="1799" width="12.69921875" style="302" customWidth="1"/>
    <col min="1800" max="1800" width="22.796875" style="302" customWidth="1"/>
    <col min="1801" max="1801" width="15.796875" style="302" customWidth="1"/>
    <col min="1802" max="1802" width="16.296875" style="302" customWidth="1"/>
    <col min="1803" max="1803" width="14.09765625" style="302" customWidth="1"/>
    <col min="1804" max="1805" width="15.19921875" style="302" customWidth="1"/>
    <col min="1806" max="1806" width="18.3984375" style="302" customWidth="1"/>
    <col min="1807" max="1807" width="13.8984375" style="302" customWidth="1"/>
    <col min="1808" max="1808" width="18.8984375" style="302" customWidth="1"/>
    <col min="1809" max="1809" width="20.3984375" style="302" customWidth="1"/>
    <col min="1810" max="1810" width="21.09765625" style="302" customWidth="1"/>
    <col min="1811" max="1811" width="18.5" style="302" customWidth="1"/>
    <col min="1812" max="1812" width="19" style="302" customWidth="1"/>
    <col min="1813" max="2048" width="8.19921875" style="302"/>
    <col min="2049" max="2049" width="52.296875" style="302" customWidth="1"/>
    <col min="2050" max="2050" width="18.59765625" style="302" customWidth="1"/>
    <col min="2051" max="2051" width="20.296875" style="302" customWidth="1"/>
    <col min="2052" max="2052" width="20.59765625" style="302" customWidth="1"/>
    <col min="2053" max="2053" width="15.796875" style="302" customWidth="1"/>
    <col min="2054" max="2054" width="16.5" style="302" customWidth="1"/>
    <col min="2055" max="2055" width="12.69921875" style="302" customWidth="1"/>
    <col min="2056" max="2056" width="22.796875" style="302" customWidth="1"/>
    <col min="2057" max="2057" width="15.796875" style="302" customWidth="1"/>
    <col min="2058" max="2058" width="16.296875" style="302" customWidth="1"/>
    <col min="2059" max="2059" width="14.09765625" style="302" customWidth="1"/>
    <col min="2060" max="2061" width="15.19921875" style="302" customWidth="1"/>
    <col min="2062" max="2062" width="18.3984375" style="302" customWidth="1"/>
    <col min="2063" max="2063" width="13.8984375" style="302" customWidth="1"/>
    <col min="2064" max="2064" width="18.8984375" style="302" customWidth="1"/>
    <col min="2065" max="2065" width="20.3984375" style="302" customWidth="1"/>
    <col min="2066" max="2066" width="21.09765625" style="302" customWidth="1"/>
    <col min="2067" max="2067" width="18.5" style="302" customWidth="1"/>
    <col min="2068" max="2068" width="19" style="302" customWidth="1"/>
    <col min="2069" max="2304" width="8.19921875" style="302"/>
    <col min="2305" max="2305" width="52.296875" style="302" customWidth="1"/>
    <col min="2306" max="2306" width="18.59765625" style="302" customWidth="1"/>
    <col min="2307" max="2307" width="20.296875" style="302" customWidth="1"/>
    <col min="2308" max="2308" width="20.59765625" style="302" customWidth="1"/>
    <col min="2309" max="2309" width="15.796875" style="302" customWidth="1"/>
    <col min="2310" max="2310" width="16.5" style="302" customWidth="1"/>
    <col min="2311" max="2311" width="12.69921875" style="302" customWidth="1"/>
    <col min="2312" max="2312" width="22.796875" style="302" customWidth="1"/>
    <col min="2313" max="2313" width="15.796875" style="302" customWidth="1"/>
    <col min="2314" max="2314" width="16.296875" style="302" customWidth="1"/>
    <col min="2315" max="2315" width="14.09765625" style="302" customWidth="1"/>
    <col min="2316" max="2317" width="15.19921875" style="302" customWidth="1"/>
    <col min="2318" max="2318" width="18.3984375" style="302" customWidth="1"/>
    <col min="2319" max="2319" width="13.8984375" style="302" customWidth="1"/>
    <col min="2320" max="2320" width="18.8984375" style="302" customWidth="1"/>
    <col min="2321" max="2321" width="20.3984375" style="302" customWidth="1"/>
    <col min="2322" max="2322" width="21.09765625" style="302" customWidth="1"/>
    <col min="2323" max="2323" width="18.5" style="302" customWidth="1"/>
    <col min="2324" max="2324" width="19" style="302" customWidth="1"/>
    <col min="2325" max="2560" width="8.19921875" style="302"/>
    <col min="2561" max="2561" width="52.296875" style="302" customWidth="1"/>
    <col min="2562" max="2562" width="18.59765625" style="302" customWidth="1"/>
    <col min="2563" max="2563" width="20.296875" style="302" customWidth="1"/>
    <col min="2564" max="2564" width="20.59765625" style="302" customWidth="1"/>
    <col min="2565" max="2565" width="15.796875" style="302" customWidth="1"/>
    <col min="2566" max="2566" width="16.5" style="302" customWidth="1"/>
    <col min="2567" max="2567" width="12.69921875" style="302" customWidth="1"/>
    <col min="2568" max="2568" width="22.796875" style="302" customWidth="1"/>
    <col min="2569" max="2569" width="15.796875" style="302" customWidth="1"/>
    <col min="2570" max="2570" width="16.296875" style="302" customWidth="1"/>
    <col min="2571" max="2571" width="14.09765625" style="302" customWidth="1"/>
    <col min="2572" max="2573" width="15.19921875" style="302" customWidth="1"/>
    <col min="2574" max="2574" width="18.3984375" style="302" customWidth="1"/>
    <col min="2575" max="2575" width="13.8984375" style="302" customWidth="1"/>
    <col min="2576" max="2576" width="18.8984375" style="302" customWidth="1"/>
    <col min="2577" max="2577" width="20.3984375" style="302" customWidth="1"/>
    <col min="2578" max="2578" width="21.09765625" style="302" customWidth="1"/>
    <col min="2579" max="2579" width="18.5" style="302" customWidth="1"/>
    <col min="2580" max="2580" width="19" style="302" customWidth="1"/>
    <col min="2581" max="2816" width="8.19921875" style="302"/>
    <col min="2817" max="2817" width="52.296875" style="302" customWidth="1"/>
    <col min="2818" max="2818" width="18.59765625" style="302" customWidth="1"/>
    <col min="2819" max="2819" width="20.296875" style="302" customWidth="1"/>
    <col min="2820" max="2820" width="20.59765625" style="302" customWidth="1"/>
    <col min="2821" max="2821" width="15.796875" style="302" customWidth="1"/>
    <col min="2822" max="2822" width="16.5" style="302" customWidth="1"/>
    <col min="2823" max="2823" width="12.69921875" style="302" customWidth="1"/>
    <col min="2824" max="2824" width="22.796875" style="302" customWidth="1"/>
    <col min="2825" max="2825" width="15.796875" style="302" customWidth="1"/>
    <col min="2826" max="2826" width="16.296875" style="302" customWidth="1"/>
    <col min="2827" max="2827" width="14.09765625" style="302" customWidth="1"/>
    <col min="2828" max="2829" width="15.19921875" style="302" customWidth="1"/>
    <col min="2830" max="2830" width="18.3984375" style="302" customWidth="1"/>
    <col min="2831" max="2831" width="13.8984375" style="302" customWidth="1"/>
    <col min="2832" max="2832" width="18.8984375" style="302" customWidth="1"/>
    <col min="2833" max="2833" width="20.3984375" style="302" customWidth="1"/>
    <col min="2834" max="2834" width="21.09765625" style="302" customWidth="1"/>
    <col min="2835" max="2835" width="18.5" style="302" customWidth="1"/>
    <col min="2836" max="2836" width="19" style="302" customWidth="1"/>
    <col min="2837" max="3072" width="8.19921875" style="302"/>
    <col min="3073" max="3073" width="52.296875" style="302" customWidth="1"/>
    <col min="3074" max="3074" width="18.59765625" style="302" customWidth="1"/>
    <col min="3075" max="3075" width="20.296875" style="302" customWidth="1"/>
    <col min="3076" max="3076" width="20.59765625" style="302" customWidth="1"/>
    <col min="3077" max="3077" width="15.796875" style="302" customWidth="1"/>
    <col min="3078" max="3078" width="16.5" style="302" customWidth="1"/>
    <col min="3079" max="3079" width="12.69921875" style="302" customWidth="1"/>
    <col min="3080" max="3080" width="22.796875" style="302" customWidth="1"/>
    <col min="3081" max="3081" width="15.796875" style="302" customWidth="1"/>
    <col min="3082" max="3082" width="16.296875" style="302" customWidth="1"/>
    <col min="3083" max="3083" width="14.09765625" style="302" customWidth="1"/>
    <col min="3084" max="3085" width="15.19921875" style="302" customWidth="1"/>
    <col min="3086" max="3086" width="18.3984375" style="302" customWidth="1"/>
    <col min="3087" max="3087" width="13.8984375" style="302" customWidth="1"/>
    <col min="3088" max="3088" width="18.8984375" style="302" customWidth="1"/>
    <col min="3089" max="3089" width="20.3984375" style="302" customWidth="1"/>
    <col min="3090" max="3090" width="21.09765625" style="302" customWidth="1"/>
    <col min="3091" max="3091" width="18.5" style="302" customWidth="1"/>
    <col min="3092" max="3092" width="19" style="302" customWidth="1"/>
    <col min="3093" max="3328" width="8.19921875" style="302"/>
    <col min="3329" max="3329" width="52.296875" style="302" customWidth="1"/>
    <col min="3330" max="3330" width="18.59765625" style="302" customWidth="1"/>
    <col min="3331" max="3331" width="20.296875" style="302" customWidth="1"/>
    <col min="3332" max="3332" width="20.59765625" style="302" customWidth="1"/>
    <col min="3333" max="3333" width="15.796875" style="302" customWidth="1"/>
    <col min="3334" max="3334" width="16.5" style="302" customWidth="1"/>
    <col min="3335" max="3335" width="12.69921875" style="302" customWidth="1"/>
    <col min="3336" max="3336" width="22.796875" style="302" customWidth="1"/>
    <col min="3337" max="3337" width="15.796875" style="302" customWidth="1"/>
    <col min="3338" max="3338" width="16.296875" style="302" customWidth="1"/>
    <col min="3339" max="3339" width="14.09765625" style="302" customWidth="1"/>
    <col min="3340" max="3341" width="15.19921875" style="302" customWidth="1"/>
    <col min="3342" max="3342" width="18.3984375" style="302" customWidth="1"/>
    <col min="3343" max="3343" width="13.8984375" style="302" customWidth="1"/>
    <col min="3344" max="3344" width="18.8984375" style="302" customWidth="1"/>
    <col min="3345" max="3345" width="20.3984375" style="302" customWidth="1"/>
    <col min="3346" max="3346" width="21.09765625" style="302" customWidth="1"/>
    <col min="3347" max="3347" width="18.5" style="302" customWidth="1"/>
    <col min="3348" max="3348" width="19" style="302" customWidth="1"/>
    <col min="3349" max="3584" width="8.19921875" style="302"/>
    <col min="3585" max="3585" width="52.296875" style="302" customWidth="1"/>
    <col min="3586" max="3586" width="18.59765625" style="302" customWidth="1"/>
    <col min="3587" max="3587" width="20.296875" style="302" customWidth="1"/>
    <col min="3588" max="3588" width="20.59765625" style="302" customWidth="1"/>
    <col min="3589" max="3589" width="15.796875" style="302" customWidth="1"/>
    <col min="3590" max="3590" width="16.5" style="302" customWidth="1"/>
    <col min="3591" max="3591" width="12.69921875" style="302" customWidth="1"/>
    <col min="3592" max="3592" width="22.796875" style="302" customWidth="1"/>
    <col min="3593" max="3593" width="15.796875" style="302" customWidth="1"/>
    <col min="3594" max="3594" width="16.296875" style="302" customWidth="1"/>
    <col min="3595" max="3595" width="14.09765625" style="302" customWidth="1"/>
    <col min="3596" max="3597" width="15.19921875" style="302" customWidth="1"/>
    <col min="3598" max="3598" width="18.3984375" style="302" customWidth="1"/>
    <col min="3599" max="3599" width="13.8984375" style="302" customWidth="1"/>
    <col min="3600" max="3600" width="18.8984375" style="302" customWidth="1"/>
    <col min="3601" max="3601" width="20.3984375" style="302" customWidth="1"/>
    <col min="3602" max="3602" width="21.09765625" style="302" customWidth="1"/>
    <col min="3603" max="3603" width="18.5" style="302" customWidth="1"/>
    <col min="3604" max="3604" width="19" style="302" customWidth="1"/>
    <col min="3605" max="3840" width="8.19921875" style="302"/>
    <col min="3841" max="3841" width="52.296875" style="302" customWidth="1"/>
    <col min="3842" max="3842" width="18.59765625" style="302" customWidth="1"/>
    <col min="3843" max="3843" width="20.296875" style="302" customWidth="1"/>
    <col min="3844" max="3844" width="20.59765625" style="302" customWidth="1"/>
    <col min="3845" max="3845" width="15.796875" style="302" customWidth="1"/>
    <col min="3846" max="3846" width="16.5" style="302" customWidth="1"/>
    <col min="3847" max="3847" width="12.69921875" style="302" customWidth="1"/>
    <col min="3848" max="3848" width="22.796875" style="302" customWidth="1"/>
    <col min="3849" max="3849" width="15.796875" style="302" customWidth="1"/>
    <col min="3850" max="3850" width="16.296875" style="302" customWidth="1"/>
    <col min="3851" max="3851" width="14.09765625" style="302" customWidth="1"/>
    <col min="3852" max="3853" width="15.19921875" style="302" customWidth="1"/>
    <col min="3854" max="3854" width="18.3984375" style="302" customWidth="1"/>
    <col min="3855" max="3855" width="13.8984375" style="302" customWidth="1"/>
    <col min="3856" max="3856" width="18.8984375" style="302" customWidth="1"/>
    <col min="3857" max="3857" width="20.3984375" style="302" customWidth="1"/>
    <col min="3858" max="3858" width="21.09765625" style="302" customWidth="1"/>
    <col min="3859" max="3859" width="18.5" style="302" customWidth="1"/>
    <col min="3860" max="3860" width="19" style="302" customWidth="1"/>
    <col min="3861" max="4096" width="8.19921875" style="302"/>
    <col min="4097" max="4097" width="52.296875" style="302" customWidth="1"/>
    <col min="4098" max="4098" width="18.59765625" style="302" customWidth="1"/>
    <col min="4099" max="4099" width="20.296875" style="302" customWidth="1"/>
    <col min="4100" max="4100" width="20.59765625" style="302" customWidth="1"/>
    <col min="4101" max="4101" width="15.796875" style="302" customWidth="1"/>
    <col min="4102" max="4102" width="16.5" style="302" customWidth="1"/>
    <col min="4103" max="4103" width="12.69921875" style="302" customWidth="1"/>
    <col min="4104" max="4104" width="22.796875" style="302" customWidth="1"/>
    <col min="4105" max="4105" width="15.796875" style="302" customWidth="1"/>
    <col min="4106" max="4106" width="16.296875" style="302" customWidth="1"/>
    <col min="4107" max="4107" width="14.09765625" style="302" customWidth="1"/>
    <col min="4108" max="4109" width="15.19921875" style="302" customWidth="1"/>
    <col min="4110" max="4110" width="18.3984375" style="302" customWidth="1"/>
    <col min="4111" max="4111" width="13.8984375" style="302" customWidth="1"/>
    <col min="4112" max="4112" width="18.8984375" style="302" customWidth="1"/>
    <col min="4113" max="4113" width="20.3984375" style="302" customWidth="1"/>
    <col min="4114" max="4114" width="21.09765625" style="302" customWidth="1"/>
    <col min="4115" max="4115" width="18.5" style="302" customWidth="1"/>
    <col min="4116" max="4116" width="19" style="302" customWidth="1"/>
    <col min="4117" max="4352" width="8.19921875" style="302"/>
    <col min="4353" max="4353" width="52.296875" style="302" customWidth="1"/>
    <col min="4354" max="4354" width="18.59765625" style="302" customWidth="1"/>
    <col min="4355" max="4355" width="20.296875" style="302" customWidth="1"/>
    <col min="4356" max="4356" width="20.59765625" style="302" customWidth="1"/>
    <col min="4357" max="4357" width="15.796875" style="302" customWidth="1"/>
    <col min="4358" max="4358" width="16.5" style="302" customWidth="1"/>
    <col min="4359" max="4359" width="12.69921875" style="302" customWidth="1"/>
    <col min="4360" max="4360" width="22.796875" style="302" customWidth="1"/>
    <col min="4361" max="4361" width="15.796875" style="302" customWidth="1"/>
    <col min="4362" max="4362" width="16.296875" style="302" customWidth="1"/>
    <col min="4363" max="4363" width="14.09765625" style="302" customWidth="1"/>
    <col min="4364" max="4365" width="15.19921875" style="302" customWidth="1"/>
    <col min="4366" max="4366" width="18.3984375" style="302" customWidth="1"/>
    <col min="4367" max="4367" width="13.8984375" style="302" customWidth="1"/>
    <col min="4368" max="4368" width="18.8984375" style="302" customWidth="1"/>
    <col min="4369" max="4369" width="20.3984375" style="302" customWidth="1"/>
    <col min="4370" max="4370" width="21.09765625" style="302" customWidth="1"/>
    <col min="4371" max="4371" width="18.5" style="302" customWidth="1"/>
    <col min="4372" max="4372" width="19" style="302" customWidth="1"/>
    <col min="4373" max="4608" width="8.19921875" style="302"/>
    <col min="4609" max="4609" width="52.296875" style="302" customWidth="1"/>
    <col min="4610" max="4610" width="18.59765625" style="302" customWidth="1"/>
    <col min="4611" max="4611" width="20.296875" style="302" customWidth="1"/>
    <col min="4612" max="4612" width="20.59765625" style="302" customWidth="1"/>
    <col min="4613" max="4613" width="15.796875" style="302" customWidth="1"/>
    <col min="4614" max="4614" width="16.5" style="302" customWidth="1"/>
    <col min="4615" max="4615" width="12.69921875" style="302" customWidth="1"/>
    <col min="4616" max="4616" width="22.796875" style="302" customWidth="1"/>
    <col min="4617" max="4617" width="15.796875" style="302" customWidth="1"/>
    <col min="4618" max="4618" width="16.296875" style="302" customWidth="1"/>
    <col min="4619" max="4619" width="14.09765625" style="302" customWidth="1"/>
    <col min="4620" max="4621" width="15.19921875" style="302" customWidth="1"/>
    <col min="4622" max="4622" width="18.3984375" style="302" customWidth="1"/>
    <col min="4623" max="4623" width="13.8984375" style="302" customWidth="1"/>
    <col min="4624" max="4624" width="18.8984375" style="302" customWidth="1"/>
    <col min="4625" max="4625" width="20.3984375" style="302" customWidth="1"/>
    <col min="4626" max="4626" width="21.09765625" style="302" customWidth="1"/>
    <col min="4627" max="4627" width="18.5" style="302" customWidth="1"/>
    <col min="4628" max="4628" width="19" style="302" customWidth="1"/>
    <col min="4629" max="4864" width="8.19921875" style="302"/>
    <col min="4865" max="4865" width="52.296875" style="302" customWidth="1"/>
    <col min="4866" max="4866" width="18.59765625" style="302" customWidth="1"/>
    <col min="4867" max="4867" width="20.296875" style="302" customWidth="1"/>
    <col min="4868" max="4868" width="20.59765625" style="302" customWidth="1"/>
    <col min="4869" max="4869" width="15.796875" style="302" customWidth="1"/>
    <col min="4870" max="4870" width="16.5" style="302" customWidth="1"/>
    <col min="4871" max="4871" width="12.69921875" style="302" customWidth="1"/>
    <col min="4872" max="4872" width="22.796875" style="302" customWidth="1"/>
    <col min="4873" max="4873" width="15.796875" style="302" customWidth="1"/>
    <col min="4874" max="4874" width="16.296875" style="302" customWidth="1"/>
    <col min="4875" max="4875" width="14.09765625" style="302" customWidth="1"/>
    <col min="4876" max="4877" width="15.19921875" style="302" customWidth="1"/>
    <col min="4878" max="4878" width="18.3984375" style="302" customWidth="1"/>
    <col min="4879" max="4879" width="13.8984375" style="302" customWidth="1"/>
    <col min="4880" max="4880" width="18.8984375" style="302" customWidth="1"/>
    <col min="4881" max="4881" width="20.3984375" style="302" customWidth="1"/>
    <col min="4882" max="4882" width="21.09765625" style="302" customWidth="1"/>
    <col min="4883" max="4883" width="18.5" style="302" customWidth="1"/>
    <col min="4884" max="4884" width="19" style="302" customWidth="1"/>
    <col min="4885" max="5120" width="8.19921875" style="302"/>
    <col min="5121" max="5121" width="52.296875" style="302" customWidth="1"/>
    <col min="5122" max="5122" width="18.59765625" style="302" customWidth="1"/>
    <col min="5123" max="5123" width="20.296875" style="302" customWidth="1"/>
    <col min="5124" max="5124" width="20.59765625" style="302" customWidth="1"/>
    <col min="5125" max="5125" width="15.796875" style="302" customWidth="1"/>
    <col min="5126" max="5126" width="16.5" style="302" customWidth="1"/>
    <col min="5127" max="5127" width="12.69921875" style="302" customWidth="1"/>
    <col min="5128" max="5128" width="22.796875" style="302" customWidth="1"/>
    <col min="5129" max="5129" width="15.796875" style="302" customWidth="1"/>
    <col min="5130" max="5130" width="16.296875" style="302" customWidth="1"/>
    <col min="5131" max="5131" width="14.09765625" style="302" customWidth="1"/>
    <col min="5132" max="5133" width="15.19921875" style="302" customWidth="1"/>
    <col min="5134" max="5134" width="18.3984375" style="302" customWidth="1"/>
    <col min="5135" max="5135" width="13.8984375" style="302" customWidth="1"/>
    <col min="5136" max="5136" width="18.8984375" style="302" customWidth="1"/>
    <col min="5137" max="5137" width="20.3984375" style="302" customWidth="1"/>
    <col min="5138" max="5138" width="21.09765625" style="302" customWidth="1"/>
    <col min="5139" max="5139" width="18.5" style="302" customWidth="1"/>
    <col min="5140" max="5140" width="19" style="302" customWidth="1"/>
    <col min="5141" max="5376" width="8.19921875" style="302"/>
    <col min="5377" max="5377" width="52.296875" style="302" customWidth="1"/>
    <col min="5378" max="5378" width="18.59765625" style="302" customWidth="1"/>
    <col min="5379" max="5379" width="20.296875" style="302" customWidth="1"/>
    <col min="5380" max="5380" width="20.59765625" style="302" customWidth="1"/>
    <col min="5381" max="5381" width="15.796875" style="302" customWidth="1"/>
    <col min="5382" max="5382" width="16.5" style="302" customWidth="1"/>
    <col min="5383" max="5383" width="12.69921875" style="302" customWidth="1"/>
    <col min="5384" max="5384" width="22.796875" style="302" customWidth="1"/>
    <col min="5385" max="5385" width="15.796875" style="302" customWidth="1"/>
    <col min="5386" max="5386" width="16.296875" style="302" customWidth="1"/>
    <col min="5387" max="5387" width="14.09765625" style="302" customWidth="1"/>
    <col min="5388" max="5389" width="15.19921875" style="302" customWidth="1"/>
    <col min="5390" max="5390" width="18.3984375" style="302" customWidth="1"/>
    <col min="5391" max="5391" width="13.8984375" style="302" customWidth="1"/>
    <col min="5392" max="5392" width="18.8984375" style="302" customWidth="1"/>
    <col min="5393" max="5393" width="20.3984375" style="302" customWidth="1"/>
    <col min="5394" max="5394" width="21.09765625" style="302" customWidth="1"/>
    <col min="5395" max="5395" width="18.5" style="302" customWidth="1"/>
    <col min="5396" max="5396" width="19" style="302" customWidth="1"/>
    <col min="5397" max="5632" width="8.19921875" style="302"/>
    <col min="5633" max="5633" width="52.296875" style="302" customWidth="1"/>
    <col min="5634" max="5634" width="18.59765625" style="302" customWidth="1"/>
    <col min="5635" max="5635" width="20.296875" style="302" customWidth="1"/>
    <col min="5636" max="5636" width="20.59765625" style="302" customWidth="1"/>
    <col min="5637" max="5637" width="15.796875" style="302" customWidth="1"/>
    <col min="5638" max="5638" width="16.5" style="302" customWidth="1"/>
    <col min="5639" max="5639" width="12.69921875" style="302" customWidth="1"/>
    <col min="5640" max="5640" width="22.796875" style="302" customWidth="1"/>
    <col min="5641" max="5641" width="15.796875" style="302" customWidth="1"/>
    <col min="5642" max="5642" width="16.296875" style="302" customWidth="1"/>
    <col min="5643" max="5643" width="14.09765625" style="302" customWidth="1"/>
    <col min="5644" max="5645" width="15.19921875" style="302" customWidth="1"/>
    <col min="5646" max="5646" width="18.3984375" style="302" customWidth="1"/>
    <col min="5647" max="5647" width="13.8984375" style="302" customWidth="1"/>
    <col min="5648" max="5648" width="18.8984375" style="302" customWidth="1"/>
    <col min="5649" max="5649" width="20.3984375" style="302" customWidth="1"/>
    <col min="5650" max="5650" width="21.09765625" style="302" customWidth="1"/>
    <col min="5651" max="5651" width="18.5" style="302" customWidth="1"/>
    <col min="5652" max="5652" width="19" style="302" customWidth="1"/>
    <col min="5653" max="5888" width="8.19921875" style="302"/>
    <col min="5889" max="5889" width="52.296875" style="302" customWidth="1"/>
    <col min="5890" max="5890" width="18.59765625" style="302" customWidth="1"/>
    <col min="5891" max="5891" width="20.296875" style="302" customWidth="1"/>
    <col min="5892" max="5892" width="20.59765625" style="302" customWidth="1"/>
    <col min="5893" max="5893" width="15.796875" style="302" customWidth="1"/>
    <col min="5894" max="5894" width="16.5" style="302" customWidth="1"/>
    <col min="5895" max="5895" width="12.69921875" style="302" customWidth="1"/>
    <col min="5896" max="5896" width="22.796875" style="302" customWidth="1"/>
    <col min="5897" max="5897" width="15.796875" style="302" customWidth="1"/>
    <col min="5898" max="5898" width="16.296875" style="302" customWidth="1"/>
    <col min="5899" max="5899" width="14.09765625" style="302" customWidth="1"/>
    <col min="5900" max="5901" width="15.19921875" style="302" customWidth="1"/>
    <col min="5902" max="5902" width="18.3984375" style="302" customWidth="1"/>
    <col min="5903" max="5903" width="13.8984375" style="302" customWidth="1"/>
    <col min="5904" max="5904" width="18.8984375" style="302" customWidth="1"/>
    <col min="5905" max="5905" width="20.3984375" style="302" customWidth="1"/>
    <col min="5906" max="5906" width="21.09765625" style="302" customWidth="1"/>
    <col min="5907" max="5907" width="18.5" style="302" customWidth="1"/>
    <col min="5908" max="5908" width="19" style="302" customWidth="1"/>
    <col min="5909" max="6144" width="8.19921875" style="302"/>
    <col min="6145" max="6145" width="52.296875" style="302" customWidth="1"/>
    <col min="6146" max="6146" width="18.59765625" style="302" customWidth="1"/>
    <col min="6147" max="6147" width="20.296875" style="302" customWidth="1"/>
    <col min="6148" max="6148" width="20.59765625" style="302" customWidth="1"/>
    <col min="6149" max="6149" width="15.796875" style="302" customWidth="1"/>
    <col min="6150" max="6150" width="16.5" style="302" customWidth="1"/>
    <col min="6151" max="6151" width="12.69921875" style="302" customWidth="1"/>
    <col min="6152" max="6152" width="22.796875" style="302" customWidth="1"/>
    <col min="6153" max="6153" width="15.796875" style="302" customWidth="1"/>
    <col min="6154" max="6154" width="16.296875" style="302" customWidth="1"/>
    <col min="6155" max="6155" width="14.09765625" style="302" customWidth="1"/>
    <col min="6156" max="6157" width="15.19921875" style="302" customWidth="1"/>
    <col min="6158" max="6158" width="18.3984375" style="302" customWidth="1"/>
    <col min="6159" max="6159" width="13.8984375" style="302" customWidth="1"/>
    <col min="6160" max="6160" width="18.8984375" style="302" customWidth="1"/>
    <col min="6161" max="6161" width="20.3984375" style="302" customWidth="1"/>
    <col min="6162" max="6162" width="21.09765625" style="302" customWidth="1"/>
    <col min="6163" max="6163" width="18.5" style="302" customWidth="1"/>
    <col min="6164" max="6164" width="19" style="302" customWidth="1"/>
    <col min="6165" max="6400" width="8.19921875" style="302"/>
    <col min="6401" max="6401" width="52.296875" style="302" customWidth="1"/>
    <col min="6402" max="6402" width="18.59765625" style="302" customWidth="1"/>
    <col min="6403" max="6403" width="20.296875" style="302" customWidth="1"/>
    <col min="6404" max="6404" width="20.59765625" style="302" customWidth="1"/>
    <col min="6405" max="6405" width="15.796875" style="302" customWidth="1"/>
    <col min="6406" max="6406" width="16.5" style="302" customWidth="1"/>
    <col min="6407" max="6407" width="12.69921875" style="302" customWidth="1"/>
    <col min="6408" max="6408" width="22.796875" style="302" customWidth="1"/>
    <col min="6409" max="6409" width="15.796875" style="302" customWidth="1"/>
    <col min="6410" max="6410" width="16.296875" style="302" customWidth="1"/>
    <col min="6411" max="6411" width="14.09765625" style="302" customWidth="1"/>
    <col min="6412" max="6413" width="15.19921875" style="302" customWidth="1"/>
    <col min="6414" max="6414" width="18.3984375" style="302" customWidth="1"/>
    <col min="6415" max="6415" width="13.8984375" style="302" customWidth="1"/>
    <col min="6416" max="6416" width="18.8984375" style="302" customWidth="1"/>
    <col min="6417" max="6417" width="20.3984375" style="302" customWidth="1"/>
    <col min="6418" max="6418" width="21.09765625" style="302" customWidth="1"/>
    <col min="6419" max="6419" width="18.5" style="302" customWidth="1"/>
    <col min="6420" max="6420" width="19" style="302" customWidth="1"/>
    <col min="6421" max="6656" width="8.19921875" style="302"/>
    <col min="6657" max="6657" width="52.296875" style="302" customWidth="1"/>
    <col min="6658" max="6658" width="18.59765625" style="302" customWidth="1"/>
    <col min="6659" max="6659" width="20.296875" style="302" customWidth="1"/>
    <col min="6660" max="6660" width="20.59765625" style="302" customWidth="1"/>
    <col min="6661" max="6661" width="15.796875" style="302" customWidth="1"/>
    <col min="6662" max="6662" width="16.5" style="302" customWidth="1"/>
    <col min="6663" max="6663" width="12.69921875" style="302" customWidth="1"/>
    <col min="6664" max="6664" width="22.796875" style="302" customWidth="1"/>
    <col min="6665" max="6665" width="15.796875" style="302" customWidth="1"/>
    <col min="6666" max="6666" width="16.296875" style="302" customWidth="1"/>
    <col min="6667" max="6667" width="14.09765625" style="302" customWidth="1"/>
    <col min="6668" max="6669" width="15.19921875" style="302" customWidth="1"/>
    <col min="6670" max="6670" width="18.3984375" style="302" customWidth="1"/>
    <col min="6671" max="6671" width="13.8984375" style="302" customWidth="1"/>
    <col min="6672" max="6672" width="18.8984375" style="302" customWidth="1"/>
    <col min="6673" max="6673" width="20.3984375" style="302" customWidth="1"/>
    <col min="6674" max="6674" width="21.09765625" style="302" customWidth="1"/>
    <col min="6675" max="6675" width="18.5" style="302" customWidth="1"/>
    <col min="6676" max="6676" width="19" style="302" customWidth="1"/>
    <col min="6677" max="6912" width="8.19921875" style="302"/>
    <col min="6913" max="6913" width="52.296875" style="302" customWidth="1"/>
    <col min="6914" max="6914" width="18.59765625" style="302" customWidth="1"/>
    <col min="6915" max="6915" width="20.296875" style="302" customWidth="1"/>
    <col min="6916" max="6916" width="20.59765625" style="302" customWidth="1"/>
    <col min="6917" max="6917" width="15.796875" style="302" customWidth="1"/>
    <col min="6918" max="6918" width="16.5" style="302" customWidth="1"/>
    <col min="6919" max="6919" width="12.69921875" style="302" customWidth="1"/>
    <col min="6920" max="6920" width="22.796875" style="302" customWidth="1"/>
    <col min="6921" max="6921" width="15.796875" style="302" customWidth="1"/>
    <col min="6922" max="6922" width="16.296875" style="302" customWidth="1"/>
    <col min="6923" max="6923" width="14.09765625" style="302" customWidth="1"/>
    <col min="6924" max="6925" width="15.19921875" style="302" customWidth="1"/>
    <col min="6926" max="6926" width="18.3984375" style="302" customWidth="1"/>
    <col min="6927" max="6927" width="13.8984375" style="302" customWidth="1"/>
    <col min="6928" max="6928" width="18.8984375" style="302" customWidth="1"/>
    <col min="6929" max="6929" width="20.3984375" style="302" customWidth="1"/>
    <col min="6930" max="6930" width="21.09765625" style="302" customWidth="1"/>
    <col min="6931" max="6931" width="18.5" style="302" customWidth="1"/>
    <col min="6932" max="6932" width="19" style="302" customWidth="1"/>
    <col min="6933" max="7168" width="8.19921875" style="302"/>
    <col min="7169" max="7169" width="52.296875" style="302" customWidth="1"/>
    <col min="7170" max="7170" width="18.59765625" style="302" customWidth="1"/>
    <col min="7171" max="7171" width="20.296875" style="302" customWidth="1"/>
    <col min="7172" max="7172" width="20.59765625" style="302" customWidth="1"/>
    <col min="7173" max="7173" width="15.796875" style="302" customWidth="1"/>
    <col min="7174" max="7174" width="16.5" style="302" customWidth="1"/>
    <col min="7175" max="7175" width="12.69921875" style="302" customWidth="1"/>
    <col min="7176" max="7176" width="22.796875" style="302" customWidth="1"/>
    <col min="7177" max="7177" width="15.796875" style="302" customWidth="1"/>
    <col min="7178" max="7178" width="16.296875" style="302" customWidth="1"/>
    <col min="7179" max="7179" width="14.09765625" style="302" customWidth="1"/>
    <col min="7180" max="7181" width="15.19921875" style="302" customWidth="1"/>
    <col min="7182" max="7182" width="18.3984375" style="302" customWidth="1"/>
    <col min="7183" max="7183" width="13.8984375" style="302" customWidth="1"/>
    <col min="7184" max="7184" width="18.8984375" style="302" customWidth="1"/>
    <col min="7185" max="7185" width="20.3984375" style="302" customWidth="1"/>
    <col min="7186" max="7186" width="21.09765625" style="302" customWidth="1"/>
    <col min="7187" max="7187" width="18.5" style="302" customWidth="1"/>
    <col min="7188" max="7188" width="19" style="302" customWidth="1"/>
    <col min="7189" max="7424" width="8.19921875" style="302"/>
    <col min="7425" max="7425" width="52.296875" style="302" customWidth="1"/>
    <col min="7426" max="7426" width="18.59765625" style="302" customWidth="1"/>
    <col min="7427" max="7427" width="20.296875" style="302" customWidth="1"/>
    <col min="7428" max="7428" width="20.59765625" style="302" customWidth="1"/>
    <col min="7429" max="7429" width="15.796875" style="302" customWidth="1"/>
    <col min="7430" max="7430" width="16.5" style="302" customWidth="1"/>
    <col min="7431" max="7431" width="12.69921875" style="302" customWidth="1"/>
    <col min="7432" max="7432" width="22.796875" style="302" customWidth="1"/>
    <col min="7433" max="7433" width="15.796875" style="302" customWidth="1"/>
    <col min="7434" max="7434" width="16.296875" style="302" customWidth="1"/>
    <col min="7435" max="7435" width="14.09765625" style="302" customWidth="1"/>
    <col min="7436" max="7437" width="15.19921875" style="302" customWidth="1"/>
    <col min="7438" max="7438" width="18.3984375" style="302" customWidth="1"/>
    <col min="7439" max="7439" width="13.8984375" style="302" customWidth="1"/>
    <col min="7440" max="7440" width="18.8984375" style="302" customWidth="1"/>
    <col min="7441" max="7441" width="20.3984375" style="302" customWidth="1"/>
    <col min="7442" max="7442" width="21.09765625" style="302" customWidth="1"/>
    <col min="7443" max="7443" width="18.5" style="302" customWidth="1"/>
    <col min="7444" max="7444" width="19" style="302" customWidth="1"/>
    <col min="7445" max="7680" width="8.19921875" style="302"/>
    <col min="7681" max="7681" width="52.296875" style="302" customWidth="1"/>
    <col min="7682" max="7682" width="18.59765625" style="302" customWidth="1"/>
    <col min="7683" max="7683" width="20.296875" style="302" customWidth="1"/>
    <col min="7684" max="7684" width="20.59765625" style="302" customWidth="1"/>
    <col min="7685" max="7685" width="15.796875" style="302" customWidth="1"/>
    <col min="7686" max="7686" width="16.5" style="302" customWidth="1"/>
    <col min="7687" max="7687" width="12.69921875" style="302" customWidth="1"/>
    <col min="7688" max="7688" width="22.796875" style="302" customWidth="1"/>
    <col min="7689" max="7689" width="15.796875" style="302" customWidth="1"/>
    <col min="7690" max="7690" width="16.296875" style="302" customWidth="1"/>
    <col min="7691" max="7691" width="14.09765625" style="302" customWidth="1"/>
    <col min="7692" max="7693" width="15.19921875" style="302" customWidth="1"/>
    <col min="7694" max="7694" width="18.3984375" style="302" customWidth="1"/>
    <col min="7695" max="7695" width="13.8984375" style="302" customWidth="1"/>
    <col min="7696" max="7696" width="18.8984375" style="302" customWidth="1"/>
    <col min="7697" max="7697" width="20.3984375" style="302" customWidth="1"/>
    <col min="7698" max="7698" width="21.09765625" style="302" customWidth="1"/>
    <col min="7699" max="7699" width="18.5" style="302" customWidth="1"/>
    <col min="7700" max="7700" width="19" style="302" customWidth="1"/>
    <col min="7701" max="7936" width="8.19921875" style="302"/>
    <col min="7937" max="7937" width="52.296875" style="302" customWidth="1"/>
    <col min="7938" max="7938" width="18.59765625" style="302" customWidth="1"/>
    <col min="7939" max="7939" width="20.296875" style="302" customWidth="1"/>
    <col min="7940" max="7940" width="20.59765625" style="302" customWidth="1"/>
    <col min="7941" max="7941" width="15.796875" style="302" customWidth="1"/>
    <col min="7942" max="7942" width="16.5" style="302" customWidth="1"/>
    <col min="7943" max="7943" width="12.69921875" style="302" customWidth="1"/>
    <col min="7944" max="7944" width="22.796875" style="302" customWidth="1"/>
    <col min="7945" max="7945" width="15.796875" style="302" customWidth="1"/>
    <col min="7946" max="7946" width="16.296875" style="302" customWidth="1"/>
    <col min="7947" max="7947" width="14.09765625" style="302" customWidth="1"/>
    <col min="7948" max="7949" width="15.19921875" style="302" customWidth="1"/>
    <col min="7950" max="7950" width="18.3984375" style="302" customWidth="1"/>
    <col min="7951" max="7951" width="13.8984375" style="302" customWidth="1"/>
    <col min="7952" max="7952" width="18.8984375" style="302" customWidth="1"/>
    <col min="7953" max="7953" width="20.3984375" style="302" customWidth="1"/>
    <col min="7954" max="7954" width="21.09765625" style="302" customWidth="1"/>
    <col min="7955" max="7955" width="18.5" style="302" customWidth="1"/>
    <col min="7956" max="7956" width="19" style="302" customWidth="1"/>
    <col min="7957" max="8192" width="8.19921875" style="302"/>
    <col min="8193" max="8193" width="52.296875" style="302" customWidth="1"/>
    <col min="8194" max="8194" width="18.59765625" style="302" customWidth="1"/>
    <col min="8195" max="8195" width="20.296875" style="302" customWidth="1"/>
    <col min="8196" max="8196" width="20.59765625" style="302" customWidth="1"/>
    <col min="8197" max="8197" width="15.796875" style="302" customWidth="1"/>
    <col min="8198" max="8198" width="16.5" style="302" customWidth="1"/>
    <col min="8199" max="8199" width="12.69921875" style="302" customWidth="1"/>
    <col min="8200" max="8200" width="22.796875" style="302" customWidth="1"/>
    <col min="8201" max="8201" width="15.796875" style="302" customWidth="1"/>
    <col min="8202" max="8202" width="16.296875" style="302" customWidth="1"/>
    <col min="8203" max="8203" width="14.09765625" style="302" customWidth="1"/>
    <col min="8204" max="8205" width="15.19921875" style="302" customWidth="1"/>
    <col min="8206" max="8206" width="18.3984375" style="302" customWidth="1"/>
    <col min="8207" max="8207" width="13.8984375" style="302" customWidth="1"/>
    <col min="8208" max="8208" width="18.8984375" style="302" customWidth="1"/>
    <col min="8209" max="8209" width="20.3984375" style="302" customWidth="1"/>
    <col min="8210" max="8210" width="21.09765625" style="302" customWidth="1"/>
    <col min="8211" max="8211" width="18.5" style="302" customWidth="1"/>
    <col min="8212" max="8212" width="19" style="302" customWidth="1"/>
    <col min="8213" max="8448" width="8.19921875" style="302"/>
    <col min="8449" max="8449" width="52.296875" style="302" customWidth="1"/>
    <col min="8450" max="8450" width="18.59765625" style="302" customWidth="1"/>
    <col min="8451" max="8451" width="20.296875" style="302" customWidth="1"/>
    <col min="8452" max="8452" width="20.59765625" style="302" customWidth="1"/>
    <col min="8453" max="8453" width="15.796875" style="302" customWidth="1"/>
    <col min="8454" max="8454" width="16.5" style="302" customWidth="1"/>
    <col min="8455" max="8455" width="12.69921875" style="302" customWidth="1"/>
    <col min="8456" max="8456" width="22.796875" style="302" customWidth="1"/>
    <col min="8457" max="8457" width="15.796875" style="302" customWidth="1"/>
    <col min="8458" max="8458" width="16.296875" style="302" customWidth="1"/>
    <col min="8459" max="8459" width="14.09765625" style="302" customWidth="1"/>
    <col min="8460" max="8461" width="15.19921875" style="302" customWidth="1"/>
    <col min="8462" max="8462" width="18.3984375" style="302" customWidth="1"/>
    <col min="8463" max="8463" width="13.8984375" style="302" customWidth="1"/>
    <col min="8464" max="8464" width="18.8984375" style="302" customWidth="1"/>
    <col min="8465" max="8465" width="20.3984375" style="302" customWidth="1"/>
    <col min="8466" max="8466" width="21.09765625" style="302" customWidth="1"/>
    <col min="8467" max="8467" width="18.5" style="302" customWidth="1"/>
    <col min="8468" max="8468" width="19" style="302" customWidth="1"/>
    <col min="8469" max="8704" width="8.19921875" style="302"/>
    <col min="8705" max="8705" width="52.296875" style="302" customWidth="1"/>
    <col min="8706" max="8706" width="18.59765625" style="302" customWidth="1"/>
    <col min="8707" max="8707" width="20.296875" style="302" customWidth="1"/>
    <col min="8708" max="8708" width="20.59765625" style="302" customWidth="1"/>
    <col min="8709" max="8709" width="15.796875" style="302" customWidth="1"/>
    <col min="8710" max="8710" width="16.5" style="302" customWidth="1"/>
    <col min="8711" max="8711" width="12.69921875" style="302" customWidth="1"/>
    <col min="8712" max="8712" width="22.796875" style="302" customWidth="1"/>
    <col min="8713" max="8713" width="15.796875" style="302" customWidth="1"/>
    <col min="8714" max="8714" width="16.296875" style="302" customWidth="1"/>
    <col min="8715" max="8715" width="14.09765625" style="302" customWidth="1"/>
    <col min="8716" max="8717" width="15.19921875" style="302" customWidth="1"/>
    <col min="8718" max="8718" width="18.3984375" style="302" customWidth="1"/>
    <col min="8719" max="8719" width="13.8984375" style="302" customWidth="1"/>
    <col min="8720" max="8720" width="18.8984375" style="302" customWidth="1"/>
    <col min="8721" max="8721" width="20.3984375" style="302" customWidth="1"/>
    <col min="8722" max="8722" width="21.09765625" style="302" customWidth="1"/>
    <col min="8723" max="8723" width="18.5" style="302" customWidth="1"/>
    <col min="8724" max="8724" width="19" style="302" customWidth="1"/>
    <col min="8725" max="8960" width="8.19921875" style="302"/>
    <col min="8961" max="8961" width="52.296875" style="302" customWidth="1"/>
    <col min="8962" max="8962" width="18.59765625" style="302" customWidth="1"/>
    <col min="8963" max="8963" width="20.296875" style="302" customWidth="1"/>
    <col min="8964" max="8964" width="20.59765625" style="302" customWidth="1"/>
    <col min="8965" max="8965" width="15.796875" style="302" customWidth="1"/>
    <col min="8966" max="8966" width="16.5" style="302" customWidth="1"/>
    <col min="8967" max="8967" width="12.69921875" style="302" customWidth="1"/>
    <col min="8968" max="8968" width="22.796875" style="302" customWidth="1"/>
    <col min="8969" max="8969" width="15.796875" style="302" customWidth="1"/>
    <col min="8970" max="8970" width="16.296875" style="302" customWidth="1"/>
    <col min="8971" max="8971" width="14.09765625" style="302" customWidth="1"/>
    <col min="8972" max="8973" width="15.19921875" style="302" customWidth="1"/>
    <col min="8974" max="8974" width="18.3984375" style="302" customWidth="1"/>
    <col min="8975" max="8975" width="13.8984375" style="302" customWidth="1"/>
    <col min="8976" max="8976" width="18.8984375" style="302" customWidth="1"/>
    <col min="8977" max="8977" width="20.3984375" style="302" customWidth="1"/>
    <col min="8978" max="8978" width="21.09765625" style="302" customWidth="1"/>
    <col min="8979" max="8979" width="18.5" style="302" customWidth="1"/>
    <col min="8980" max="8980" width="19" style="302" customWidth="1"/>
    <col min="8981" max="9216" width="8.19921875" style="302"/>
    <col min="9217" max="9217" width="52.296875" style="302" customWidth="1"/>
    <col min="9218" max="9218" width="18.59765625" style="302" customWidth="1"/>
    <col min="9219" max="9219" width="20.296875" style="302" customWidth="1"/>
    <col min="9220" max="9220" width="20.59765625" style="302" customWidth="1"/>
    <col min="9221" max="9221" width="15.796875" style="302" customWidth="1"/>
    <col min="9222" max="9222" width="16.5" style="302" customWidth="1"/>
    <col min="9223" max="9223" width="12.69921875" style="302" customWidth="1"/>
    <col min="9224" max="9224" width="22.796875" style="302" customWidth="1"/>
    <col min="9225" max="9225" width="15.796875" style="302" customWidth="1"/>
    <col min="9226" max="9226" width="16.296875" style="302" customWidth="1"/>
    <col min="9227" max="9227" width="14.09765625" style="302" customWidth="1"/>
    <col min="9228" max="9229" width="15.19921875" style="302" customWidth="1"/>
    <col min="9230" max="9230" width="18.3984375" style="302" customWidth="1"/>
    <col min="9231" max="9231" width="13.8984375" style="302" customWidth="1"/>
    <col min="9232" max="9232" width="18.8984375" style="302" customWidth="1"/>
    <col min="9233" max="9233" width="20.3984375" style="302" customWidth="1"/>
    <col min="9234" max="9234" width="21.09765625" style="302" customWidth="1"/>
    <col min="9235" max="9235" width="18.5" style="302" customWidth="1"/>
    <col min="9236" max="9236" width="19" style="302" customWidth="1"/>
    <col min="9237" max="9472" width="8.19921875" style="302"/>
    <col min="9473" max="9473" width="52.296875" style="302" customWidth="1"/>
    <col min="9474" max="9474" width="18.59765625" style="302" customWidth="1"/>
    <col min="9475" max="9475" width="20.296875" style="302" customWidth="1"/>
    <col min="9476" max="9476" width="20.59765625" style="302" customWidth="1"/>
    <col min="9477" max="9477" width="15.796875" style="302" customWidth="1"/>
    <col min="9478" max="9478" width="16.5" style="302" customWidth="1"/>
    <col min="9479" max="9479" width="12.69921875" style="302" customWidth="1"/>
    <col min="9480" max="9480" width="22.796875" style="302" customWidth="1"/>
    <col min="9481" max="9481" width="15.796875" style="302" customWidth="1"/>
    <col min="9482" max="9482" width="16.296875" style="302" customWidth="1"/>
    <col min="9483" max="9483" width="14.09765625" style="302" customWidth="1"/>
    <col min="9484" max="9485" width="15.19921875" style="302" customWidth="1"/>
    <col min="9486" max="9486" width="18.3984375" style="302" customWidth="1"/>
    <col min="9487" max="9487" width="13.8984375" style="302" customWidth="1"/>
    <col min="9488" max="9488" width="18.8984375" style="302" customWidth="1"/>
    <col min="9489" max="9489" width="20.3984375" style="302" customWidth="1"/>
    <col min="9490" max="9490" width="21.09765625" style="302" customWidth="1"/>
    <col min="9491" max="9491" width="18.5" style="302" customWidth="1"/>
    <col min="9492" max="9492" width="19" style="302" customWidth="1"/>
    <col min="9493" max="9728" width="8.19921875" style="302"/>
    <col min="9729" max="9729" width="52.296875" style="302" customWidth="1"/>
    <col min="9730" max="9730" width="18.59765625" style="302" customWidth="1"/>
    <col min="9731" max="9731" width="20.296875" style="302" customWidth="1"/>
    <col min="9732" max="9732" width="20.59765625" style="302" customWidth="1"/>
    <col min="9733" max="9733" width="15.796875" style="302" customWidth="1"/>
    <col min="9734" max="9734" width="16.5" style="302" customWidth="1"/>
    <col min="9735" max="9735" width="12.69921875" style="302" customWidth="1"/>
    <col min="9736" max="9736" width="22.796875" style="302" customWidth="1"/>
    <col min="9737" max="9737" width="15.796875" style="302" customWidth="1"/>
    <col min="9738" max="9738" width="16.296875" style="302" customWidth="1"/>
    <col min="9739" max="9739" width="14.09765625" style="302" customWidth="1"/>
    <col min="9740" max="9741" width="15.19921875" style="302" customWidth="1"/>
    <col min="9742" max="9742" width="18.3984375" style="302" customWidth="1"/>
    <col min="9743" max="9743" width="13.8984375" style="302" customWidth="1"/>
    <col min="9744" max="9744" width="18.8984375" style="302" customWidth="1"/>
    <col min="9745" max="9745" width="20.3984375" style="302" customWidth="1"/>
    <col min="9746" max="9746" width="21.09765625" style="302" customWidth="1"/>
    <col min="9747" max="9747" width="18.5" style="302" customWidth="1"/>
    <col min="9748" max="9748" width="19" style="302" customWidth="1"/>
    <col min="9749" max="9984" width="8.19921875" style="302"/>
    <col min="9985" max="9985" width="52.296875" style="302" customWidth="1"/>
    <col min="9986" max="9986" width="18.59765625" style="302" customWidth="1"/>
    <col min="9987" max="9987" width="20.296875" style="302" customWidth="1"/>
    <col min="9988" max="9988" width="20.59765625" style="302" customWidth="1"/>
    <col min="9989" max="9989" width="15.796875" style="302" customWidth="1"/>
    <col min="9990" max="9990" width="16.5" style="302" customWidth="1"/>
    <col min="9991" max="9991" width="12.69921875" style="302" customWidth="1"/>
    <col min="9992" max="9992" width="22.796875" style="302" customWidth="1"/>
    <col min="9993" max="9993" width="15.796875" style="302" customWidth="1"/>
    <col min="9994" max="9994" width="16.296875" style="302" customWidth="1"/>
    <col min="9995" max="9995" width="14.09765625" style="302" customWidth="1"/>
    <col min="9996" max="9997" width="15.19921875" style="302" customWidth="1"/>
    <col min="9998" max="9998" width="18.3984375" style="302" customWidth="1"/>
    <col min="9999" max="9999" width="13.8984375" style="302" customWidth="1"/>
    <col min="10000" max="10000" width="18.8984375" style="302" customWidth="1"/>
    <col min="10001" max="10001" width="20.3984375" style="302" customWidth="1"/>
    <col min="10002" max="10002" width="21.09765625" style="302" customWidth="1"/>
    <col min="10003" max="10003" width="18.5" style="302" customWidth="1"/>
    <col min="10004" max="10004" width="19" style="302" customWidth="1"/>
    <col min="10005" max="10240" width="8.19921875" style="302"/>
    <col min="10241" max="10241" width="52.296875" style="302" customWidth="1"/>
    <col min="10242" max="10242" width="18.59765625" style="302" customWidth="1"/>
    <col min="10243" max="10243" width="20.296875" style="302" customWidth="1"/>
    <col min="10244" max="10244" width="20.59765625" style="302" customWidth="1"/>
    <col min="10245" max="10245" width="15.796875" style="302" customWidth="1"/>
    <col min="10246" max="10246" width="16.5" style="302" customWidth="1"/>
    <col min="10247" max="10247" width="12.69921875" style="302" customWidth="1"/>
    <col min="10248" max="10248" width="22.796875" style="302" customWidth="1"/>
    <col min="10249" max="10249" width="15.796875" style="302" customWidth="1"/>
    <col min="10250" max="10250" width="16.296875" style="302" customWidth="1"/>
    <col min="10251" max="10251" width="14.09765625" style="302" customWidth="1"/>
    <col min="10252" max="10253" width="15.19921875" style="302" customWidth="1"/>
    <col min="10254" max="10254" width="18.3984375" style="302" customWidth="1"/>
    <col min="10255" max="10255" width="13.8984375" style="302" customWidth="1"/>
    <col min="10256" max="10256" width="18.8984375" style="302" customWidth="1"/>
    <col min="10257" max="10257" width="20.3984375" style="302" customWidth="1"/>
    <col min="10258" max="10258" width="21.09765625" style="302" customWidth="1"/>
    <col min="10259" max="10259" width="18.5" style="302" customWidth="1"/>
    <col min="10260" max="10260" width="19" style="302" customWidth="1"/>
    <col min="10261" max="10496" width="8.19921875" style="302"/>
    <col min="10497" max="10497" width="52.296875" style="302" customWidth="1"/>
    <col min="10498" max="10498" width="18.59765625" style="302" customWidth="1"/>
    <col min="10499" max="10499" width="20.296875" style="302" customWidth="1"/>
    <col min="10500" max="10500" width="20.59765625" style="302" customWidth="1"/>
    <col min="10501" max="10501" width="15.796875" style="302" customWidth="1"/>
    <col min="10502" max="10502" width="16.5" style="302" customWidth="1"/>
    <col min="10503" max="10503" width="12.69921875" style="302" customWidth="1"/>
    <col min="10504" max="10504" width="22.796875" style="302" customWidth="1"/>
    <col min="10505" max="10505" width="15.796875" style="302" customWidth="1"/>
    <col min="10506" max="10506" width="16.296875" style="302" customWidth="1"/>
    <col min="10507" max="10507" width="14.09765625" style="302" customWidth="1"/>
    <col min="10508" max="10509" width="15.19921875" style="302" customWidth="1"/>
    <col min="10510" max="10510" width="18.3984375" style="302" customWidth="1"/>
    <col min="10511" max="10511" width="13.8984375" style="302" customWidth="1"/>
    <col min="10512" max="10512" width="18.8984375" style="302" customWidth="1"/>
    <col min="10513" max="10513" width="20.3984375" style="302" customWidth="1"/>
    <col min="10514" max="10514" width="21.09765625" style="302" customWidth="1"/>
    <col min="10515" max="10515" width="18.5" style="302" customWidth="1"/>
    <col min="10516" max="10516" width="19" style="302" customWidth="1"/>
    <col min="10517" max="10752" width="8.19921875" style="302"/>
    <col min="10753" max="10753" width="52.296875" style="302" customWidth="1"/>
    <col min="10754" max="10754" width="18.59765625" style="302" customWidth="1"/>
    <col min="10755" max="10755" width="20.296875" style="302" customWidth="1"/>
    <col min="10756" max="10756" width="20.59765625" style="302" customWidth="1"/>
    <col min="10757" max="10757" width="15.796875" style="302" customWidth="1"/>
    <col min="10758" max="10758" width="16.5" style="302" customWidth="1"/>
    <col min="10759" max="10759" width="12.69921875" style="302" customWidth="1"/>
    <col min="10760" max="10760" width="22.796875" style="302" customWidth="1"/>
    <col min="10761" max="10761" width="15.796875" style="302" customWidth="1"/>
    <col min="10762" max="10762" width="16.296875" style="302" customWidth="1"/>
    <col min="10763" max="10763" width="14.09765625" style="302" customWidth="1"/>
    <col min="10764" max="10765" width="15.19921875" style="302" customWidth="1"/>
    <col min="10766" max="10766" width="18.3984375" style="302" customWidth="1"/>
    <col min="10767" max="10767" width="13.8984375" style="302" customWidth="1"/>
    <col min="10768" max="10768" width="18.8984375" style="302" customWidth="1"/>
    <col min="10769" max="10769" width="20.3984375" style="302" customWidth="1"/>
    <col min="10770" max="10770" width="21.09765625" style="302" customWidth="1"/>
    <col min="10771" max="10771" width="18.5" style="302" customWidth="1"/>
    <col min="10772" max="10772" width="19" style="302" customWidth="1"/>
    <col min="10773" max="11008" width="8.19921875" style="302"/>
    <col min="11009" max="11009" width="52.296875" style="302" customWidth="1"/>
    <col min="11010" max="11010" width="18.59765625" style="302" customWidth="1"/>
    <col min="11011" max="11011" width="20.296875" style="302" customWidth="1"/>
    <col min="11012" max="11012" width="20.59765625" style="302" customWidth="1"/>
    <col min="11013" max="11013" width="15.796875" style="302" customWidth="1"/>
    <col min="11014" max="11014" width="16.5" style="302" customWidth="1"/>
    <col min="11015" max="11015" width="12.69921875" style="302" customWidth="1"/>
    <col min="11016" max="11016" width="22.796875" style="302" customWidth="1"/>
    <col min="11017" max="11017" width="15.796875" style="302" customWidth="1"/>
    <col min="11018" max="11018" width="16.296875" style="302" customWidth="1"/>
    <col min="11019" max="11019" width="14.09765625" style="302" customWidth="1"/>
    <col min="11020" max="11021" width="15.19921875" style="302" customWidth="1"/>
    <col min="11022" max="11022" width="18.3984375" style="302" customWidth="1"/>
    <col min="11023" max="11023" width="13.8984375" style="302" customWidth="1"/>
    <col min="11024" max="11024" width="18.8984375" style="302" customWidth="1"/>
    <col min="11025" max="11025" width="20.3984375" style="302" customWidth="1"/>
    <col min="11026" max="11026" width="21.09765625" style="302" customWidth="1"/>
    <col min="11027" max="11027" width="18.5" style="302" customWidth="1"/>
    <col min="11028" max="11028" width="19" style="302" customWidth="1"/>
    <col min="11029" max="11264" width="8.19921875" style="302"/>
    <col min="11265" max="11265" width="52.296875" style="302" customWidth="1"/>
    <col min="11266" max="11266" width="18.59765625" style="302" customWidth="1"/>
    <col min="11267" max="11267" width="20.296875" style="302" customWidth="1"/>
    <col min="11268" max="11268" width="20.59765625" style="302" customWidth="1"/>
    <col min="11269" max="11269" width="15.796875" style="302" customWidth="1"/>
    <col min="11270" max="11270" width="16.5" style="302" customWidth="1"/>
    <col min="11271" max="11271" width="12.69921875" style="302" customWidth="1"/>
    <col min="11272" max="11272" width="22.796875" style="302" customWidth="1"/>
    <col min="11273" max="11273" width="15.796875" style="302" customWidth="1"/>
    <col min="11274" max="11274" width="16.296875" style="302" customWidth="1"/>
    <col min="11275" max="11275" width="14.09765625" style="302" customWidth="1"/>
    <col min="11276" max="11277" width="15.19921875" style="302" customWidth="1"/>
    <col min="11278" max="11278" width="18.3984375" style="302" customWidth="1"/>
    <col min="11279" max="11279" width="13.8984375" style="302" customWidth="1"/>
    <col min="11280" max="11280" width="18.8984375" style="302" customWidth="1"/>
    <col min="11281" max="11281" width="20.3984375" style="302" customWidth="1"/>
    <col min="11282" max="11282" width="21.09765625" style="302" customWidth="1"/>
    <col min="11283" max="11283" width="18.5" style="302" customWidth="1"/>
    <col min="11284" max="11284" width="19" style="302" customWidth="1"/>
    <col min="11285" max="11520" width="8.19921875" style="302"/>
    <col min="11521" max="11521" width="52.296875" style="302" customWidth="1"/>
    <col min="11522" max="11522" width="18.59765625" style="302" customWidth="1"/>
    <col min="11523" max="11523" width="20.296875" style="302" customWidth="1"/>
    <col min="11524" max="11524" width="20.59765625" style="302" customWidth="1"/>
    <col min="11525" max="11525" width="15.796875" style="302" customWidth="1"/>
    <col min="11526" max="11526" width="16.5" style="302" customWidth="1"/>
    <col min="11527" max="11527" width="12.69921875" style="302" customWidth="1"/>
    <col min="11528" max="11528" width="22.796875" style="302" customWidth="1"/>
    <col min="11529" max="11529" width="15.796875" style="302" customWidth="1"/>
    <col min="11530" max="11530" width="16.296875" style="302" customWidth="1"/>
    <col min="11531" max="11531" width="14.09765625" style="302" customWidth="1"/>
    <col min="11532" max="11533" width="15.19921875" style="302" customWidth="1"/>
    <col min="11534" max="11534" width="18.3984375" style="302" customWidth="1"/>
    <col min="11535" max="11535" width="13.8984375" style="302" customWidth="1"/>
    <col min="11536" max="11536" width="18.8984375" style="302" customWidth="1"/>
    <col min="11537" max="11537" width="20.3984375" style="302" customWidth="1"/>
    <col min="11538" max="11538" width="21.09765625" style="302" customWidth="1"/>
    <col min="11539" max="11539" width="18.5" style="302" customWidth="1"/>
    <col min="11540" max="11540" width="19" style="302" customWidth="1"/>
    <col min="11541" max="11776" width="8.19921875" style="302"/>
    <col min="11777" max="11777" width="52.296875" style="302" customWidth="1"/>
    <col min="11778" max="11778" width="18.59765625" style="302" customWidth="1"/>
    <col min="11779" max="11779" width="20.296875" style="302" customWidth="1"/>
    <col min="11780" max="11780" width="20.59765625" style="302" customWidth="1"/>
    <col min="11781" max="11781" width="15.796875" style="302" customWidth="1"/>
    <col min="11782" max="11782" width="16.5" style="302" customWidth="1"/>
    <col min="11783" max="11783" width="12.69921875" style="302" customWidth="1"/>
    <col min="11784" max="11784" width="22.796875" style="302" customWidth="1"/>
    <col min="11785" max="11785" width="15.796875" style="302" customWidth="1"/>
    <col min="11786" max="11786" width="16.296875" style="302" customWidth="1"/>
    <col min="11787" max="11787" width="14.09765625" style="302" customWidth="1"/>
    <col min="11788" max="11789" width="15.19921875" style="302" customWidth="1"/>
    <col min="11790" max="11790" width="18.3984375" style="302" customWidth="1"/>
    <col min="11791" max="11791" width="13.8984375" style="302" customWidth="1"/>
    <col min="11792" max="11792" width="18.8984375" style="302" customWidth="1"/>
    <col min="11793" max="11793" width="20.3984375" style="302" customWidth="1"/>
    <col min="11794" max="11794" width="21.09765625" style="302" customWidth="1"/>
    <col min="11795" max="11795" width="18.5" style="302" customWidth="1"/>
    <col min="11796" max="11796" width="19" style="302" customWidth="1"/>
    <col min="11797" max="12032" width="8.19921875" style="302"/>
    <col min="12033" max="12033" width="52.296875" style="302" customWidth="1"/>
    <col min="12034" max="12034" width="18.59765625" style="302" customWidth="1"/>
    <col min="12035" max="12035" width="20.296875" style="302" customWidth="1"/>
    <col min="12036" max="12036" width="20.59765625" style="302" customWidth="1"/>
    <col min="12037" max="12037" width="15.796875" style="302" customWidth="1"/>
    <col min="12038" max="12038" width="16.5" style="302" customWidth="1"/>
    <col min="12039" max="12039" width="12.69921875" style="302" customWidth="1"/>
    <col min="12040" max="12040" width="22.796875" style="302" customWidth="1"/>
    <col min="12041" max="12041" width="15.796875" style="302" customWidth="1"/>
    <col min="12042" max="12042" width="16.296875" style="302" customWidth="1"/>
    <col min="12043" max="12043" width="14.09765625" style="302" customWidth="1"/>
    <col min="12044" max="12045" width="15.19921875" style="302" customWidth="1"/>
    <col min="12046" max="12046" width="18.3984375" style="302" customWidth="1"/>
    <col min="12047" max="12047" width="13.8984375" style="302" customWidth="1"/>
    <col min="12048" max="12048" width="18.8984375" style="302" customWidth="1"/>
    <col min="12049" max="12049" width="20.3984375" style="302" customWidth="1"/>
    <col min="12050" max="12050" width="21.09765625" style="302" customWidth="1"/>
    <col min="12051" max="12051" width="18.5" style="302" customWidth="1"/>
    <col min="12052" max="12052" width="19" style="302" customWidth="1"/>
    <col min="12053" max="12288" width="8.19921875" style="302"/>
    <col min="12289" max="12289" width="52.296875" style="302" customWidth="1"/>
    <col min="12290" max="12290" width="18.59765625" style="302" customWidth="1"/>
    <col min="12291" max="12291" width="20.296875" style="302" customWidth="1"/>
    <col min="12292" max="12292" width="20.59765625" style="302" customWidth="1"/>
    <col min="12293" max="12293" width="15.796875" style="302" customWidth="1"/>
    <col min="12294" max="12294" width="16.5" style="302" customWidth="1"/>
    <col min="12295" max="12295" width="12.69921875" style="302" customWidth="1"/>
    <col min="12296" max="12296" width="22.796875" style="302" customWidth="1"/>
    <col min="12297" max="12297" width="15.796875" style="302" customWidth="1"/>
    <col min="12298" max="12298" width="16.296875" style="302" customWidth="1"/>
    <col min="12299" max="12299" width="14.09765625" style="302" customWidth="1"/>
    <col min="12300" max="12301" width="15.19921875" style="302" customWidth="1"/>
    <col min="12302" max="12302" width="18.3984375" style="302" customWidth="1"/>
    <col min="12303" max="12303" width="13.8984375" style="302" customWidth="1"/>
    <col min="12304" max="12304" width="18.8984375" style="302" customWidth="1"/>
    <col min="12305" max="12305" width="20.3984375" style="302" customWidth="1"/>
    <col min="12306" max="12306" width="21.09765625" style="302" customWidth="1"/>
    <col min="12307" max="12307" width="18.5" style="302" customWidth="1"/>
    <col min="12308" max="12308" width="19" style="302" customWidth="1"/>
    <col min="12309" max="12544" width="8.19921875" style="302"/>
    <col min="12545" max="12545" width="52.296875" style="302" customWidth="1"/>
    <col min="12546" max="12546" width="18.59765625" style="302" customWidth="1"/>
    <col min="12547" max="12547" width="20.296875" style="302" customWidth="1"/>
    <col min="12548" max="12548" width="20.59765625" style="302" customWidth="1"/>
    <col min="12549" max="12549" width="15.796875" style="302" customWidth="1"/>
    <col min="12550" max="12550" width="16.5" style="302" customWidth="1"/>
    <col min="12551" max="12551" width="12.69921875" style="302" customWidth="1"/>
    <col min="12552" max="12552" width="22.796875" style="302" customWidth="1"/>
    <col min="12553" max="12553" width="15.796875" style="302" customWidth="1"/>
    <col min="12554" max="12554" width="16.296875" style="302" customWidth="1"/>
    <col min="12555" max="12555" width="14.09765625" style="302" customWidth="1"/>
    <col min="12556" max="12557" width="15.19921875" style="302" customWidth="1"/>
    <col min="12558" max="12558" width="18.3984375" style="302" customWidth="1"/>
    <col min="12559" max="12559" width="13.8984375" style="302" customWidth="1"/>
    <col min="12560" max="12560" width="18.8984375" style="302" customWidth="1"/>
    <col min="12561" max="12561" width="20.3984375" style="302" customWidth="1"/>
    <col min="12562" max="12562" width="21.09765625" style="302" customWidth="1"/>
    <col min="12563" max="12563" width="18.5" style="302" customWidth="1"/>
    <col min="12564" max="12564" width="19" style="302" customWidth="1"/>
    <col min="12565" max="12800" width="8.19921875" style="302"/>
    <col min="12801" max="12801" width="52.296875" style="302" customWidth="1"/>
    <col min="12802" max="12802" width="18.59765625" style="302" customWidth="1"/>
    <col min="12803" max="12803" width="20.296875" style="302" customWidth="1"/>
    <col min="12804" max="12804" width="20.59765625" style="302" customWidth="1"/>
    <col min="12805" max="12805" width="15.796875" style="302" customWidth="1"/>
    <col min="12806" max="12806" width="16.5" style="302" customWidth="1"/>
    <col min="12807" max="12807" width="12.69921875" style="302" customWidth="1"/>
    <col min="12808" max="12808" width="22.796875" style="302" customWidth="1"/>
    <col min="12809" max="12809" width="15.796875" style="302" customWidth="1"/>
    <col min="12810" max="12810" width="16.296875" style="302" customWidth="1"/>
    <col min="12811" max="12811" width="14.09765625" style="302" customWidth="1"/>
    <col min="12812" max="12813" width="15.19921875" style="302" customWidth="1"/>
    <col min="12814" max="12814" width="18.3984375" style="302" customWidth="1"/>
    <col min="12815" max="12815" width="13.8984375" style="302" customWidth="1"/>
    <col min="12816" max="12816" width="18.8984375" style="302" customWidth="1"/>
    <col min="12817" max="12817" width="20.3984375" style="302" customWidth="1"/>
    <col min="12818" max="12818" width="21.09765625" style="302" customWidth="1"/>
    <col min="12819" max="12819" width="18.5" style="302" customWidth="1"/>
    <col min="12820" max="12820" width="19" style="302" customWidth="1"/>
    <col min="12821" max="13056" width="8.19921875" style="302"/>
    <col min="13057" max="13057" width="52.296875" style="302" customWidth="1"/>
    <col min="13058" max="13058" width="18.59765625" style="302" customWidth="1"/>
    <col min="13059" max="13059" width="20.296875" style="302" customWidth="1"/>
    <col min="13060" max="13060" width="20.59765625" style="302" customWidth="1"/>
    <col min="13061" max="13061" width="15.796875" style="302" customWidth="1"/>
    <col min="13062" max="13062" width="16.5" style="302" customWidth="1"/>
    <col min="13063" max="13063" width="12.69921875" style="302" customWidth="1"/>
    <col min="13064" max="13064" width="22.796875" style="302" customWidth="1"/>
    <col min="13065" max="13065" width="15.796875" style="302" customWidth="1"/>
    <col min="13066" max="13066" width="16.296875" style="302" customWidth="1"/>
    <col min="13067" max="13067" width="14.09765625" style="302" customWidth="1"/>
    <col min="13068" max="13069" width="15.19921875" style="302" customWidth="1"/>
    <col min="13070" max="13070" width="18.3984375" style="302" customWidth="1"/>
    <col min="13071" max="13071" width="13.8984375" style="302" customWidth="1"/>
    <col min="13072" max="13072" width="18.8984375" style="302" customWidth="1"/>
    <col min="13073" max="13073" width="20.3984375" style="302" customWidth="1"/>
    <col min="13074" max="13074" width="21.09765625" style="302" customWidth="1"/>
    <col min="13075" max="13075" width="18.5" style="302" customWidth="1"/>
    <col min="13076" max="13076" width="19" style="302" customWidth="1"/>
    <col min="13077" max="13312" width="8.19921875" style="302"/>
    <col min="13313" max="13313" width="52.296875" style="302" customWidth="1"/>
    <col min="13314" max="13314" width="18.59765625" style="302" customWidth="1"/>
    <col min="13315" max="13315" width="20.296875" style="302" customWidth="1"/>
    <col min="13316" max="13316" width="20.59765625" style="302" customWidth="1"/>
    <col min="13317" max="13317" width="15.796875" style="302" customWidth="1"/>
    <col min="13318" max="13318" width="16.5" style="302" customWidth="1"/>
    <col min="13319" max="13319" width="12.69921875" style="302" customWidth="1"/>
    <col min="13320" max="13320" width="22.796875" style="302" customWidth="1"/>
    <col min="13321" max="13321" width="15.796875" style="302" customWidth="1"/>
    <col min="13322" max="13322" width="16.296875" style="302" customWidth="1"/>
    <col min="13323" max="13323" width="14.09765625" style="302" customWidth="1"/>
    <col min="13324" max="13325" width="15.19921875" style="302" customWidth="1"/>
    <col min="13326" max="13326" width="18.3984375" style="302" customWidth="1"/>
    <col min="13327" max="13327" width="13.8984375" style="302" customWidth="1"/>
    <col min="13328" max="13328" width="18.8984375" style="302" customWidth="1"/>
    <col min="13329" max="13329" width="20.3984375" style="302" customWidth="1"/>
    <col min="13330" max="13330" width="21.09765625" style="302" customWidth="1"/>
    <col min="13331" max="13331" width="18.5" style="302" customWidth="1"/>
    <col min="13332" max="13332" width="19" style="302" customWidth="1"/>
    <col min="13333" max="13568" width="8.19921875" style="302"/>
    <col min="13569" max="13569" width="52.296875" style="302" customWidth="1"/>
    <col min="13570" max="13570" width="18.59765625" style="302" customWidth="1"/>
    <col min="13571" max="13571" width="20.296875" style="302" customWidth="1"/>
    <col min="13572" max="13572" width="20.59765625" style="302" customWidth="1"/>
    <col min="13573" max="13573" width="15.796875" style="302" customWidth="1"/>
    <col min="13574" max="13574" width="16.5" style="302" customWidth="1"/>
    <col min="13575" max="13575" width="12.69921875" style="302" customWidth="1"/>
    <col min="13576" max="13576" width="22.796875" style="302" customWidth="1"/>
    <col min="13577" max="13577" width="15.796875" style="302" customWidth="1"/>
    <col min="13578" max="13578" width="16.296875" style="302" customWidth="1"/>
    <col min="13579" max="13579" width="14.09765625" style="302" customWidth="1"/>
    <col min="13580" max="13581" width="15.19921875" style="302" customWidth="1"/>
    <col min="13582" max="13582" width="18.3984375" style="302" customWidth="1"/>
    <col min="13583" max="13583" width="13.8984375" style="302" customWidth="1"/>
    <col min="13584" max="13584" width="18.8984375" style="302" customWidth="1"/>
    <col min="13585" max="13585" width="20.3984375" style="302" customWidth="1"/>
    <col min="13586" max="13586" width="21.09765625" style="302" customWidth="1"/>
    <col min="13587" max="13587" width="18.5" style="302" customWidth="1"/>
    <col min="13588" max="13588" width="19" style="302" customWidth="1"/>
    <col min="13589" max="13824" width="8.19921875" style="302"/>
    <col min="13825" max="13825" width="52.296875" style="302" customWidth="1"/>
    <col min="13826" max="13826" width="18.59765625" style="302" customWidth="1"/>
    <col min="13827" max="13827" width="20.296875" style="302" customWidth="1"/>
    <col min="13828" max="13828" width="20.59765625" style="302" customWidth="1"/>
    <col min="13829" max="13829" width="15.796875" style="302" customWidth="1"/>
    <col min="13830" max="13830" width="16.5" style="302" customWidth="1"/>
    <col min="13831" max="13831" width="12.69921875" style="302" customWidth="1"/>
    <col min="13832" max="13832" width="22.796875" style="302" customWidth="1"/>
    <col min="13833" max="13833" width="15.796875" style="302" customWidth="1"/>
    <col min="13834" max="13834" width="16.296875" style="302" customWidth="1"/>
    <col min="13835" max="13835" width="14.09765625" style="302" customWidth="1"/>
    <col min="13836" max="13837" width="15.19921875" style="302" customWidth="1"/>
    <col min="13838" max="13838" width="18.3984375" style="302" customWidth="1"/>
    <col min="13839" max="13839" width="13.8984375" style="302" customWidth="1"/>
    <col min="13840" max="13840" width="18.8984375" style="302" customWidth="1"/>
    <col min="13841" max="13841" width="20.3984375" style="302" customWidth="1"/>
    <col min="13842" max="13842" width="21.09765625" style="302" customWidth="1"/>
    <col min="13843" max="13843" width="18.5" style="302" customWidth="1"/>
    <col min="13844" max="13844" width="19" style="302" customWidth="1"/>
    <col min="13845" max="14080" width="8.19921875" style="302"/>
    <col min="14081" max="14081" width="52.296875" style="302" customWidth="1"/>
    <col min="14082" max="14082" width="18.59765625" style="302" customWidth="1"/>
    <col min="14083" max="14083" width="20.296875" style="302" customWidth="1"/>
    <col min="14084" max="14084" width="20.59765625" style="302" customWidth="1"/>
    <col min="14085" max="14085" width="15.796875" style="302" customWidth="1"/>
    <col min="14086" max="14086" width="16.5" style="302" customWidth="1"/>
    <col min="14087" max="14087" width="12.69921875" style="302" customWidth="1"/>
    <col min="14088" max="14088" width="22.796875" style="302" customWidth="1"/>
    <col min="14089" max="14089" width="15.796875" style="302" customWidth="1"/>
    <col min="14090" max="14090" width="16.296875" style="302" customWidth="1"/>
    <col min="14091" max="14091" width="14.09765625" style="302" customWidth="1"/>
    <col min="14092" max="14093" width="15.19921875" style="302" customWidth="1"/>
    <col min="14094" max="14094" width="18.3984375" style="302" customWidth="1"/>
    <col min="14095" max="14095" width="13.8984375" style="302" customWidth="1"/>
    <col min="14096" max="14096" width="18.8984375" style="302" customWidth="1"/>
    <col min="14097" max="14097" width="20.3984375" style="302" customWidth="1"/>
    <col min="14098" max="14098" width="21.09765625" style="302" customWidth="1"/>
    <col min="14099" max="14099" width="18.5" style="302" customWidth="1"/>
    <col min="14100" max="14100" width="19" style="302" customWidth="1"/>
    <col min="14101" max="14336" width="8.19921875" style="302"/>
    <col min="14337" max="14337" width="52.296875" style="302" customWidth="1"/>
    <col min="14338" max="14338" width="18.59765625" style="302" customWidth="1"/>
    <col min="14339" max="14339" width="20.296875" style="302" customWidth="1"/>
    <col min="14340" max="14340" width="20.59765625" style="302" customWidth="1"/>
    <col min="14341" max="14341" width="15.796875" style="302" customWidth="1"/>
    <col min="14342" max="14342" width="16.5" style="302" customWidth="1"/>
    <col min="14343" max="14343" width="12.69921875" style="302" customWidth="1"/>
    <col min="14344" max="14344" width="22.796875" style="302" customWidth="1"/>
    <col min="14345" max="14345" width="15.796875" style="302" customWidth="1"/>
    <col min="14346" max="14346" width="16.296875" style="302" customWidth="1"/>
    <col min="14347" max="14347" width="14.09765625" style="302" customWidth="1"/>
    <col min="14348" max="14349" width="15.19921875" style="302" customWidth="1"/>
    <col min="14350" max="14350" width="18.3984375" style="302" customWidth="1"/>
    <col min="14351" max="14351" width="13.8984375" style="302" customWidth="1"/>
    <col min="14352" max="14352" width="18.8984375" style="302" customWidth="1"/>
    <col min="14353" max="14353" width="20.3984375" style="302" customWidth="1"/>
    <col min="14354" max="14354" width="21.09765625" style="302" customWidth="1"/>
    <col min="14355" max="14355" width="18.5" style="302" customWidth="1"/>
    <col min="14356" max="14356" width="19" style="302" customWidth="1"/>
    <col min="14357" max="14592" width="8.19921875" style="302"/>
    <col min="14593" max="14593" width="52.296875" style="302" customWidth="1"/>
    <col min="14594" max="14594" width="18.59765625" style="302" customWidth="1"/>
    <col min="14595" max="14595" width="20.296875" style="302" customWidth="1"/>
    <col min="14596" max="14596" width="20.59765625" style="302" customWidth="1"/>
    <col min="14597" max="14597" width="15.796875" style="302" customWidth="1"/>
    <col min="14598" max="14598" width="16.5" style="302" customWidth="1"/>
    <col min="14599" max="14599" width="12.69921875" style="302" customWidth="1"/>
    <col min="14600" max="14600" width="22.796875" style="302" customWidth="1"/>
    <col min="14601" max="14601" width="15.796875" style="302" customWidth="1"/>
    <col min="14602" max="14602" width="16.296875" style="302" customWidth="1"/>
    <col min="14603" max="14603" width="14.09765625" style="302" customWidth="1"/>
    <col min="14604" max="14605" width="15.19921875" style="302" customWidth="1"/>
    <col min="14606" max="14606" width="18.3984375" style="302" customWidth="1"/>
    <col min="14607" max="14607" width="13.8984375" style="302" customWidth="1"/>
    <col min="14608" max="14608" width="18.8984375" style="302" customWidth="1"/>
    <col min="14609" max="14609" width="20.3984375" style="302" customWidth="1"/>
    <col min="14610" max="14610" width="21.09765625" style="302" customWidth="1"/>
    <col min="14611" max="14611" width="18.5" style="302" customWidth="1"/>
    <col min="14612" max="14612" width="19" style="302" customWidth="1"/>
    <col min="14613" max="14848" width="8.19921875" style="302"/>
    <col min="14849" max="14849" width="52.296875" style="302" customWidth="1"/>
    <col min="14850" max="14850" width="18.59765625" style="302" customWidth="1"/>
    <col min="14851" max="14851" width="20.296875" style="302" customWidth="1"/>
    <col min="14852" max="14852" width="20.59765625" style="302" customWidth="1"/>
    <col min="14853" max="14853" width="15.796875" style="302" customWidth="1"/>
    <col min="14854" max="14854" width="16.5" style="302" customWidth="1"/>
    <col min="14855" max="14855" width="12.69921875" style="302" customWidth="1"/>
    <col min="14856" max="14856" width="22.796875" style="302" customWidth="1"/>
    <col min="14857" max="14857" width="15.796875" style="302" customWidth="1"/>
    <col min="14858" max="14858" width="16.296875" style="302" customWidth="1"/>
    <col min="14859" max="14859" width="14.09765625" style="302" customWidth="1"/>
    <col min="14860" max="14861" width="15.19921875" style="302" customWidth="1"/>
    <col min="14862" max="14862" width="18.3984375" style="302" customWidth="1"/>
    <col min="14863" max="14863" width="13.8984375" style="302" customWidth="1"/>
    <col min="14864" max="14864" width="18.8984375" style="302" customWidth="1"/>
    <col min="14865" max="14865" width="20.3984375" style="302" customWidth="1"/>
    <col min="14866" max="14866" width="21.09765625" style="302" customWidth="1"/>
    <col min="14867" max="14867" width="18.5" style="302" customWidth="1"/>
    <col min="14868" max="14868" width="19" style="302" customWidth="1"/>
    <col min="14869" max="15104" width="8.19921875" style="302"/>
    <col min="15105" max="15105" width="52.296875" style="302" customWidth="1"/>
    <col min="15106" max="15106" width="18.59765625" style="302" customWidth="1"/>
    <col min="15107" max="15107" width="20.296875" style="302" customWidth="1"/>
    <col min="15108" max="15108" width="20.59765625" style="302" customWidth="1"/>
    <col min="15109" max="15109" width="15.796875" style="302" customWidth="1"/>
    <col min="15110" max="15110" width="16.5" style="302" customWidth="1"/>
    <col min="15111" max="15111" width="12.69921875" style="302" customWidth="1"/>
    <col min="15112" max="15112" width="22.796875" style="302" customWidth="1"/>
    <col min="15113" max="15113" width="15.796875" style="302" customWidth="1"/>
    <col min="15114" max="15114" width="16.296875" style="302" customWidth="1"/>
    <col min="15115" max="15115" width="14.09765625" style="302" customWidth="1"/>
    <col min="15116" max="15117" width="15.19921875" style="302" customWidth="1"/>
    <col min="15118" max="15118" width="18.3984375" style="302" customWidth="1"/>
    <col min="15119" max="15119" width="13.8984375" style="302" customWidth="1"/>
    <col min="15120" max="15120" width="18.8984375" style="302" customWidth="1"/>
    <col min="15121" max="15121" width="20.3984375" style="302" customWidth="1"/>
    <col min="15122" max="15122" width="21.09765625" style="302" customWidth="1"/>
    <col min="15123" max="15123" width="18.5" style="302" customWidth="1"/>
    <col min="15124" max="15124" width="19" style="302" customWidth="1"/>
    <col min="15125" max="15360" width="8.19921875" style="302"/>
    <col min="15361" max="15361" width="52.296875" style="302" customWidth="1"/>
    <col min="15362" max="15362" width="18.59765625" style="302" customWidth="1"/>
    <col min="15363" max="15363" width="20.296875" style="302" customWidth="1"/>
    <col min="15364" max="15364" width="20.59765625" style="302" customWidth="1"/>
    <col min="15365" max="15365" width="15.796875" style="302" customWidth="1"/>
    <col min="15366" max="15366" width="16.5" style="302" customWidth="1"/>
    <col min="15367" max="15367" width="12.69921875" style="302" customWidth="1"/>
    <col min="15368" max="15368" width="22.796875" style="302" customWidth="1"/>
    <col min="15369" max="15369" width="15.796875" style="302" customWidth="1"/>
    <col min="15370" max="15370" width="16.296875" style="302" customWidth="1"/>
    <col min="15371" max="15371" width="14.09765625" style="302" customWidth="1"/>
    <col min="15372" max="15373" width="15.19921875" style="302" customWidth="1"/>
    <col min="15374" max="15374" width="18.3984375" style="302" customWidth="1"/>
    <col min="15375" max="15375" width="13.8984375" style="302" customWidth="1"/>
    <col min="15376" max="15376" width="18.8984375" style="302" customWidth="1"/>
    <col min="15377" max="15377" width="20.3984375" style="302" customWidth="1"/>
    <col min="15378" max="15378" width="21.09765625" style="302" customWidth="1"/>
    <col min="15379" max="15379" width="18.5" style="302" customWidth="1"/>
    <col min="15380" max="15380" width="19" style="302" customWidth="1"/>
    <col min="15381" max="15616" width="8.19921875" style="302"/>
    <col min="15617" max="15617" width="52.296875" style="302" customWidth="1"/>
    <col min="15618" max="15618" width="18.59765625" style="302" customWidth="1"/>
    <col min="15619" max="15619" width="20.296875" style="302" customWidth="1"/>
    <col min="15620" max="15620" width="20.59765625" style="302" customWidth="1"/>
    <col min="15621" max="15621" width="15.796875" style="302" customWidth="1"/>
    <col min="15622" max="15622" width="16.5" style="302" customWidth="1"/>
    <col min="15623" max="15623" width="12.69921875" style="302" customWidth="1"/>
    <col min="15624" max="15624" width="22.796875" style="302" customWidth="1"/>
    <col min="15625" max="15625" width="15.796875" style="302" customWidth="1"/>
    <col min="15626" max="15626" width="16.296875" style="302" customWidth="1"/>
    <col min="15627" max="15627" width="14.09765625" style="302" customWidth="1"/>
    <col min="15628" max="15629" width="15.19921875" style="302" customWidth="1"/>
    <col min="15630" max="15630" width="18.3984375" style="302" customWidth="1"/>
    <col min="15631" max="15631" width="13.8984375" style="302" customWidth="1"/>
    <col min="15632" max="15632" width="18.8984375" style="302" customWidth="1"/>
    <col min="15633" max="15633" width="20.3984375" style="302" customWidth="1"/>
    <col min="15634" max="15634" width="21.09765625" style="302" customWidth="1"/>
    <col min="15635" max="15635" width="18.5" style="302" customWidth="1"/>
    <col min="15636" max="15636" width="19" style="302" customWidth="1"/>
    <col min="15637" max="15872" width="8.19921875" style="302"/>
    <col min="15873" max="15873" width="52.296875" style="302" customWidth="1"/>
    <col min="15874" max="15874" width="18.59765625" style="302" customWidth="1"/>
    <col min="15875" max="15875" width="20.296875" style="302" customWidth="1"/>
    <col min="15876" max="15876" width="20.59765625" style="302" customWidth="1"/>
    <col min="15877" max="15877" width="15.796875" style="302" customWidth="1"/>
    <col min="15878" max="15878" width="16.5" style="302" customWidth="1"/>
    <col min="15879" max="15879" width="12.69921875" style="302" customWidth="1"/>
    <col min="15880" max="15880" width="22.796875" style="302" customWidth="1"/>
    <col min="15881" max="15881" width="15.796875" style="302" customWidth="1"/>
    <col min="15882" max="15882" width="16.296875" style="302" customWidth="1"/>
    <col min="15883" max="15883" width="14.09765625" style="302" customWidth="1"/>
    <col min="15884" max="15885" width="15.19921875" style="302" customWidth="1"/>
    <col min="15886" max="15886" width="18.3984375" style="302" customWidth="1"/>
    <col min="15887" max="15887" width="13.8984375" style="302" customWidth="1"/>
    <col min="15888" max="15888" width="18.8984375" style="302" customWidth="1"/>
    <col min="15889" max="15889" width="20.3984375" style="302" customWidth="1"/>
    <col min="15890" max="15890" width="21.09765625" style="302" customWidth="1"/>
    <col min="15891" max="15891" width="18.5" style="302" customWidth="1"/>
    <col min="15892" max="15892" width="19" style="302" customWidth="1"/>
    <col min="15893" max="16128" width="8.19921875" style="302"/>
    <col min="16129" max="16129" width="52.296875" style="302" customWidth="1"/>
    <col min="16130" max="16130" width="18.59765625" style="302" customWidth="1"/>
    <col min="16131" max="16131" width="20.296875" style="302" customWidth="1"/>
    <col min="16132" max="16132" width="20.59765625" style="302" customWidth="1"/>
    <col min="16133" max="16133" width="15.796875" style="302" customWidth="1"/>
    <col min="16134" max="16134" width="16.5" style="302" customWidth="1"/>
    <col min="16135" max="16135" width="12.69921875" style="302" customWidth="1"/>
    <col min="16136" max="16136" width="22.796875" style="302" customWidth="1"/>
    <col min="16137" max="16137" width="15.796875" style="302" customWidth="1"/>
    <col min="16138" max="16138" width="16.296875" style="302" customWidth="1"/>
    <col min="16139" max="16139" width="14.09765625" style="302" customWidth="1"/>
    <col min="16140" max="16141" width="15.19921875" style="302" customWidth="1"/>
    <col min="16142" max="16142" width="18.3984375" style="302" customWidth="1"/>
    <col min="16143" max="16143" width="13.8984375" style="302" customWidth="1"/>
    <col min="16144" max="16144" width="18.8984375" style="302" customWidth="1"/>
    <col min="16145" max="16145" width="20.3984375" style="302" customWidth="1"/>
    <col min="16146" max="16146" width="21.09765625" style="302" customWidth="1"/>
    <col min="16147" max="16147" width="18.5" style="302" customWidth="1"/>
    <col min="16148" max="16148" width="19" style="302" customWidth="1"/>
    <col min="16149" max="16384" width="8.19921875" style="302"/>
  </cols>
  <sheetData>
    <row r="1" spans="1:20" s="310" customFormat="1" ht="23.4" x14ac:dyDescent="0.45">
      <c r="A1" s="556" t="s">
        <v>6</v>
      </c>
      <c r="B1" s="556"/>
      <c r="C1" s="556"/>
      <c r="D1" s="556"/>
      <c r="E1" s="556"/>
      <c r="F1" s="556"/>
      <c r="G1" s="556"/>
      <c r="H1" s="556"/>
      <c r="I1" s="556"/>
      <c r="J1" s="556" t="s">
        <v>6</v>
      </c>
      <c r="K1" s="556"/>
      <c r="L1" s="556"/>
      <c r="M1" s="556"/>
      <c r="N1" s="556"/>
      <c r="O1" s="556"/>
      <c r="P1" s="556"/>
      <c r="Q1" s="556"/>
      <c r="R1" s="556"/>
      <c r="S1" s="556"/>
      <c r="T1" s="556"/>
    </row>
    <row r="2" spans="1:20" s="310" customFormat="1" ht="23.4" x14ac:dyDescent="0.45">
      <c r="A2" s="556" t="s">
        <v>0</v>
      </c>
      <c r="B2" s="556"/>
      <c r="C2" s="556"/>
      <c r="D2" s="556"/>
      <c r="E2" s="556"/>
      <c r="F2" s="556"/>
      <c r="G2" s="556"/>
      <c r="H2" s="556"/>
      <c r="I2" s="556"/>
      <c r="J2" s="556" t="s">
        <v>0</v>
      </c>
      <c r="K2" s="556"/>
      <c r="L2" s="556"/>
      <c r="M2" s="556"/>
      <c r="N2" s="556"/>
      <c r="O2" s="556"/>
      <c r="P2" s="556"/>
      <c r="Q2" s="556"/>
      <c r="R2" s="556"/>
      <c r="S2" s="556"/>
      <c r="T2" s="556"/>
    </row>
    <row r="3" spans="1:20" s="310" customFormat="1" ht="23.4" x14ac:dyDescent="0.45">
      <c r="A3" s="556" t="s">
        <v>124</v>
      </c>
      <c r="B3" s="556"/>
      <c r="C3" s="556"/>
      <c r="D3" s="556"/>
      <c r="E3" s="556"/>
      <c r="F3" s="556"/>
      <c r="G3" s="556"/>
      <c r="H3" s="556"/>
      <c r="I3" s="556"/>
      <c r="J3" s="556" t="s">
        <v>39</v>
      </c>
      <c r="K3" s="556"/>
      <c r="L3" s="556"/>
      <c r="M3" s="556"/>
      <c r="N3" s="556"/>
      <c r="O3" s="556"/>
      <c r="P3" s="556"/>
      <c r="Q3" s="556"/>
      <c r="R3" s="556"/>
      <c r="S3" s="556"/>
      <c r="T3" s="556"/>
    </row>
    <row r="4" spans="1:20" s="311" customFormat="1" ht="23.4" x14ac:dyDescent="0.45">
      <c r="A4" s="556" t="s">
        <v>139</v>
      </c>
      <c r="B4" s="556"/>
      <c r="C4" s="556"/>
      <c r="D4" s="556"/>
      <c r="E4" s="556"/>
      <c r="F4" s="556"/>
      <c r="G4" s="556"/>
      <c r="H4" s="556"/>
      <c r="I4" s="556"/>
      <c r="J4" s="556" t="s">
        <v>177</v>
      </c>
      <c r="K4" s="556"/>
      <c r="L4" s="556"/>
      <c r="M4" s="556"/>
      <c r="N4" s="556"/>
      <c r="O4" s="556"/>
      <c r="P4" s="556"/>
      <c r="Q4" s="556"/>
      <c r="R4" s="556"/>
      <c r="S4" s="556"/>
      <c r="T4" s="556"/>
    </row>
    <row r="5" spans="1:20" s="310" customFormat="1" ht="23.4" x14ac:dyDescent="0.45">
      <c r="G5" s="312"/>
      <c r="P5" s="312"/>
    </row>
    <row r="6" spans="1:20" s="311" customFormat="1" ht="23.4" x14ac:dyDescent="0.45">
      <c r="A6" s="313" t="s">
        <v>140</v>
      </c>
      <c r="G6" s="314"/>
      <c r="J6" s="313" t="s">
        <v>140</v>
      </c>
      <c r="P6" s="314"/>
    </row>
    <row r="7" spans="1:20" s="291" customFormat="1" x14ac:dyDescent="0.4">
      <c r="A7" s="315"/>
      <c r="G7" s="316"/>
      <c r="J7" s="315"/>
      <c r="P7" s="316"/>
    </row>
    <row r="8" spans="1:20" s="317" customFormat="1" ht="33" x14ac:dyDescent="0.6">
      <c r="A8" s="587" t="s">
        <v>141</v>
      </c>
      <c r="B8" s="588"/>
      <c r="C8" s="588"/>
      <c r="D8" s="588"/>
      <c r="E8" s="588"/>
      <c r="F8" s="588"/>
      <c r="G8" s="588"/>
      <c r="H8" s="588"/>
      <c r="I8" s="589"/>
      <c r="J8" s="588" t="s">
        <v>179</v>
      </c>
      <c r="K8" s="588"/>
      <c r="L8" s="588"/>
      <c r="M8" s="588"/>
      <c r="N8" s="588"/>
      <c r="O8" s="588"/>
      <c r="P8" s="588"/>
      <c r="Q8" s="589"/>
      <c r="R8" s="587" t="s">
        <v>142</v>
      </c>
      <c r="S8" s="588"/>
      <c r="T8" s="589"/>
    </row>
    <row r="9" spans="1:20" s="503" customFormat="1" ht="23.4" x14ac:dyDescent="0.45">
      <c r="A9" s="585" t="s">
        <v>89</v>
      </c>
      <c r="B9" s="504" t="s">
        <v>90</v>
      </c>
      <c r="C9" s="504" t="s">
        <v>91</v>
      </c>
      <c r="D9" s="504" t="s">
        <v>4</v>
      </c>
      <c r="E9" s="504" t="s">
        <v>143</v>
      </c>
      <c r="F9" s="504" t="s">
        <v>144</v>
      </c>
      <c r="G9" s="505" t="s">
        <v>94</v>
      </c>
      <c r="H9" s="504" t="s">
        <v>145</v>
      </c>
      <c r="I9" s="504" t="s">
        <v>144</v>
      </c>
      <c r="J9" s="504" t="s">
        <v>90</v>
      </c>
      <c r="K9" s="504" t="s">
        <v>91</v>
      </c>
      <c r="L9" s="504" t="s">
        <v>4</v>
      </c>
      <c r="M9" s="504" t="s">
        <v>143</v>
      </c>
      <c r="N9" s="504" t="s">
        <v>144</v>
      </c>
      <c r="O9" s="504" t="s">
        <v>94</v>
      </c>
      <c r="P9" s="504" t="s">
        <v>145</v>
      </c>
      <c r="Q9" s="67" t="s">
        <v>144</v>
      </c>
      <c r="R9" s="318" t="s">
        <v>144</v>
      </c>
      <c r="S9" s="504" t="s">
        <v>145</v>
      </c>
      <c r="T9" s="504" t="s">
        <v>144</v>
      </c>
    </row>
    <row r="10" spans="1:20" s="503" customFormat="1" ht="23.4" x14ac:dyDescent="0.45">
      <c r="A10" s="586"/>
      <c r="B10" s="319" t="s">
        <v>146</v>
      </c>
      <c r="C10" s="319" t="s">
        <v>146</v>
      </c>
      <c r="D10" s="319"/>
      <c r="E10" s="319" t="s">
        <v>147</v>
      </c>
      <c r="F10" s="319" t="s">
        <v>5</v>
      </c>
      <c r="G10" s="320"/>
      <c r="H10" s="319" t="s">
        <v>148</v>
      </c>
      <c r="I10" s="319" t="s">
        <v>149</v>
      </c>
      <c r="J10" s="319" t="s">
        <v>146</v>
      </c>
      <c r="K10" s="319" t="s">
        <v>146</v>
      </c>
      <c r="L10" s="319"/>
      <c r="M10" s="319" t="s">
        <v>147</v>
      </c>
      <c r="N10" s="319" t="s">
        <v>5</v>
      </c>
      <c r="O10" s="319"/>
      <c r="P10" s="319" t="s">
        <v>148</v>
      </c>
      <c r="Q10" s="321" t="s">
        <v>149</v>
      </c>
      <c r="R10" s="322" t="s">
        <v>5</v>
      </c>
      <c r="S10" s="319" t="s">
        <v>148</v>
      </c>
      <c r="T10" s="319" t="s">
        <v>149</v>
      </c>
    </row>
    <row r="11" spans="1:20" s="503" customFormat="1" ht="23.4" x14ac:dyDescent="0.45">
      <c r="A11" s="583"/>
      <c r="B11" s="322"/>
      <c r="C11" s="322"/>
      <c r="D11" s="322"/>
      <c r="E11" s="322"/>
      <c r="F11" s="322"/>
      <c r="G11" s="320"/>
      <c r="H11" s="319"/>
      <c r="I11" s="319"/>
      <c r="J11" s="319"/>
      <c r="K11" s="319"/>
      <c r="L11" s="319"/>
      <c r="M11" s="319"/>
      <c r="N11" s="321"/>
      <c r="O11" s="319"/>
      <c r="P11" s="319"/>
      <c r="Q11" s="321"/>
      <c r="R11" s="322" t="s">
        <v>150</v>
      </c>
      <c r="S11" s="319" t="s">
        <v>150</v>
      </c>
      <c r="T11" s="319" t="s">
        <v>150</v>
      </c>
    </row>
    <row r="12" spans="1:20" s="295" customFormat="1" x14ac:dyDescent="0.4">
      <c r="A12" s="584" t="s">
        <v>151</v>
      </c>
      <c r="B12" s="584" t="s">
        <v>152</v>
      </c>
      <c r="C12" s="584" t="s">
        <v>153</v>
      </c>
      <c r="D12" s="584" t="s">
        <v>154</v>
      </c>
      <c r="E12" s="584" t="s">
        <v>155</v>
      </c>
      <c r="F12" s="584" t="s">
        <v>156</v>
      </c>
      <c r="G12" s="582" t="s">
        <v>157</v>
      </c>
      <c r="H12" s="584" t="s">
        <v>158</v>
      </c>
      <c r="I12" s="584" t="s">
        <v>159</v>
      </c>
      <c r="J12" s="584" t="s">
        <v>160</v>
      </c>
      <c r="K12" s="584" t="s">
        <v>161</v>
      </c>
      <c r="L12" s="584" t="s">
        <v>162</v>
      </c>
      <c r="M12" s="584" t="s">
        <v>163</v>
      </c>
      <c r="N12" s="584" t="s">
        <v>164</v>
      </c>
      <c r="O12" s="584" t="s">
        <v>165</v>
      </c>
      <c r="P12" s="584" t="s">
        <v>166</v>
      </c>
      <c r="Q12" s="577" t="s">
        <v>167</v>
      </c>
      <c r="R12" s="507" t="s">
        <v>168</v>
      </c>
      <c r="S12" s="448" t="s">
        <v>169</v>
      </c>
      <c r="T12" s="448" t="s">
        <v>170</v>
      </c>
    </row>
    <row r="13" spans="1:20" s="295" customFormat="1" x14ac:dyDescent="0.4">
      <c r="A13" s="583"/>
      <c r="B13" s="583"/>
      <c r="C13" s="583"/>
      <c r="D13" s="583"/>
      <c r="E13" s="583"/>
      <c r="F13" s="583"/>
      <c r="G13" s="583"/>
      <c r="H13" s="583"/>
      <c r="I13" s="583"/>
      <c r="J13" s="583"/>
      <c r="K13" s="583"/>
      <c r="L13" s="583"/>
      <c r="M13" s="583"/>
      <c r="N13" s="583"/>
      <c r="O13" s="583"/>
      <c r="P13" s="583"/>
      <c r="Q13" s="578"/>
      <c r="R13" s="508" t="s">
        <v>171</v>
      </c>
      <c r="S13" s="509" t="s">
        <v>172</v>
      </c>
      <c r="T13" s="509" t="s">
        <v>173</v>
      </c>
    </row>
    <row r="14" spans="1:20" s="291" customFormat="1" ht="23.4" x14ac:dyDescent="0.45">
      <c r="A14" s="326" t="s">
        <v>98</v>
      </c>
      <c r="B14" s="579"/>
      <c r="C14" s="580"/>
      <c r="D14" s="580"/>
      <c r="E14" s="580"/>
      <c r="F14" s="580"/>
      <c r="G14" s="580"/>
      <c r="H14" s="580"/>
      <c r="I14" s="580"/>
      <c r="J14" s="580"/>
      <c r="K14" s="580"/>
      <c r="L14" s="580"/>
      <c r="M14" s="580"/>
      <c r="N14" s="580"/>
      <c r="O14" s="580"/>
      <c r="P14" s="580"/>
      <c r="Q14" s="580"/>
      <c r="R14" s="580"/>
      <c r="S14" s="580"/>
      <c r="T14" s="581"/>
    </row>
    <row r="15" spans="1:20" s="291" customFormat="1" x14ac:dyDescent="0.4">
      <c r="A15" s="106" t="s">
        <v>301</v>
      </c>
      <c r="B15" s="327">
        <v>15405231.939999999</v>
      </c>
      <c r="C15" s="327">
        <v>88124.27</v>
      </c>
      <c r="D15" s="327">
        <v>1138846.3899999999</v>
      </c>
      <c r="E15" s="327">
        <v>2527513.2200000002</v>
      </c>
      <c r="F15" s="328">
        <f>SUM(B15:E15)</f>
        <v>19159715.82</v>
      </c>
      <c r="G15" s="329">
        <v>867</v>
      </c>
      <c r="H15" s="330" t="s">
        <v>100</v>
      </c>
      <c r="I15" s="327">
        <f>+F15/G15</f>
        <v>22098.864844290656</v>
      </c>
      <c r="J15" s="331">
        <f>'ตารางที่ 3ส่ง'!B9</f>
        <v>12279850.931169998</v>
      </c>
      <c r="K15" s="331">
        <f>'ตารางที่ 3ส่ง'!C9</f>
        <v>30075.751263999999</v>
      </c>
      <c r="L15" s="331">
        <f>'ตารางที่ 3ส่ง'!D9</f>
        <v>503611.30821499997</v>
      </c>
      <c r="M15" s="331">
        <f>'ตารางที่ 3ส่ง'!E9</f>
        <v>1615922.9276820002</v>
      </c>
      <c r="N15" s="332">
        <f>+J15+K15+L15+M15</f>
        <v>14429460.918330997</v>
      </c>
      <c r="O15" s="329">
        <v>600</v>
      </c>
      <c r="P15" s="330" t="s">
        <v>100</v>
      </c>
      <c r="Q15" s="327">
        <f>+N15/O15</f>
        <v>24049.101530551663</v>
      </c>
      <c r="R15" s="531">
        <f>SUM(N15-F15)*100/F15</f>
        <v>-24.688544162702527</v>
      </c>
      <c r="S15" s="531">
        <f>SUM(O15-G15)*100/G15</f>
        <v>-30.79584775086505</v>
      </c>
      <c r="T15" s="531">
        <f t="shared" ref="T15:T80" si="0">SUM(Q15-I15)*100/I15</f>
        <v>8.8250536848948578</v>
      </c>
    </row>
    <row r="16" spans="1:20" s="291" customFormat="1" x14ac:dyDescent="0.4">
      <c r="A16" s="72" t="s">
        <v>300</v>
      </c>
      <c r="B16" s="327">
        <v>0</v>
      </c>
      <c r="C16" s="327">
        <v>0</v>
      </c>
      <c r="D16" s="327">
        <v>0</v>
      </c>
      <c r="E16" s="327">
        <v>0</v>
      </c>
      <c r="F16" s="328">
        <f t="shared" ref="F16:F36" si="1">SUM(B16:E16)</f>
        <v>0</v>
      </c>
      <c r="G16" s="329"/>
      <c r="H16" s="330"/>
      <c r="I16" s="327"/>
      <c r="J16" s="333">
        <f>'ตารางที่ 3ส่ง'!B10</f>
        <v>4162661.3325999998</v>
      </c>
      <c r="K16" s="333">
        <f>'ตารางที่ 3ส่ง'!C10</f>
        <v>10195.16992</v>
      </c>
      <c r="L16" s="333">
        <f>'ตารางที่ 3ส่ง'!D10</f>
        <v>170715.69769999999</v>
      </c>
      <c r="M16" s="333">
        <f>'ตารางที่ 3ส่ง'!E10</f>
        <v>547770.4839600001</v>
      </c>
      <c r="N16" s="328">
        <f t="shared" ref="N16:N33" si="2">+J16+K16+L16+M16</f>
        <v>4891342.6841799999</v>
      </c>
      <c r="O16" s="329">
        <v>200</v>
      </c>
      <c r="P16" s="330" t="s">
        <v>100</v>
      </c>
      <c r="Q16" s="327">
        <f t="shared" ref="Q16:Q41" si="3">+N16/O16</f>
        <v>24456.7134209</v>
      </c>
      <c r="R16" s="328">
        <v>0</v>
      </c>
      <c r="S16" s="328">
        <v>0</v>
      </c>
      <c r="T16" s="328">
        <v>0</v>
      </c>
    </row>
    <row r="17" spans="1:20" s="291" customFormat="1" x14ac:dyDescent="0.4">
      <c r="A17" s="106" t="s">
        <v>198</v>
      </c>
      <c r="B17" s="327">
        <v>379944762.31</v>
      </c>
      <c r="C17" s="327">
        <v>1636467.77</v>
      </c>
      <c r="D17" s="327">
        <v>21148377.550000001</v>
      </c>
      <c r="E17" s="327">
        <v>46935920.420000002</v>
      </c>
      <c r="F17" s="328">
        <f>SUM(B17:E17)</f>
        <v>449665528.05000001</v>
      </c>
      <c r="G17" s="334">
        <v>100038</v>
      </c>
      <c r="H17" s="330" t="s">
        <v>100</v>
      </c>
      <c r="I17" s="327">
        <f>+F17/G17</f>
        <v>4494.9472005637863</v>
      </c>
      <c r="J17" s="335">
        <f>'ตารางที่ 3ส่ง'!B11</f>
        <v>377345249.80018997</v>
      </c>
      <c r="K17" s="335">
        <f>'ตารางที่ 3ส่ง'!C11</f>
        <v>724192.15324799996</v>
      </c>
      <c r="L17" s="333">
        <f>'ตารางที่ 3ส่ง'!D11</f>
        <v>15475377.996504998</v>
      </c>
      <c r="M17" s="335">
        <f>'ตารางที่ 3ส่ง'!E11</f>
        <v>49655394.370973997</v>
      </c>
      <c r="N17" s="328">
        <f t="shared" si="2"/>
        <v>443200214.32091701</v>
      </c>
      <c r="O17" s="334">
        <v>103461</v>
      </c>
      <c r="P17" s="330" t="s">
        <v>100</v>
      </c>
      <c r="Q17" s="349">
        <f t="shared" si="3"/>
        <v>4283.741838189434</v>
      </c>
      <c r="R17" s="531">
        <f t="shared" ref="R17" si="4">SUM(N17-F17)*100/F17</f>
        <v>-1.4378050630476835</v>
      </c>
      <c r="S17" s="531">
        <f t="shared" ref="S17" si="5">SUM(O17-G17)*100/G17</f>
        <v>3.4216997540934444</v>
      </c>
      <c r="T17" s="531">
        <f t="shared" si="0"/>
        <v>-4.6987284377414147</v>
      </c>
    </row>
    <row r="18" spans="1:20" x14ac:dyDescent="0.4">
      <c r="A18" s="106" t="s">
        <v>199</v>
      </c>
      <c r="B18" s="327">
        <v>0</v>
      </c>
      <c r="C18" s="327">
        <v>0</v>
      </c>
      <c r="D18" s="327">
        <v>0</v>
      </c>
      <c r="E18" s="327">
        <v>0</v>
      </c>
      <c r="F18" s="328">
        <f t="shared" si="1"/>
        <v>0</v>
      </c>
      <c r="G18" s="334"/>
      <c r="H18" s="330"/>
      <c r="I18" s="327"/>
      <c r="J18" s="335">
        <f>'ตารางที่ 3ส่ง'!B12</f>
        <v>46621806.925120004</v>
      </c>
      <c r="K18" s="335">
        <f>'ตารางที่ 3ส่ง'!C12</f>
        <v>114185.90310400001</v>
      </c>
      <c r="L18" s="333">
        <f>'ตารางที่ 3ส่ง'!D12</f>
        <v>1912015.81424</v>
      </c>
      <c r="M18" s="335">
        <f>'ตารางที่ 3ส่ง'!E12</f>
        <v>6135029.4203520007</v>
      </c>
      <c r="N18" s="328">
        <f t="shared" si="2"/>
        <v>54783038.062816009</v>
      </c>
      <c r="O18" s="334">
        <v>14136</v>
      </c>
      <c r="P18" s="330" t="s">
        <v>100</v>
      </c>
      <c r="Q18" s="327">
        <f t="shared" si="3"/>
        <v>3875.427140833051</v>
      </c>
      <c r="R18" s="328">
        <v>0</v>
      </c>
      <c r="S18" s="328">
        <v>0</v>
      </c>
      <c r="T18" s="328">
        <v>0</v>
      </c>
    </row>
    <row r="19" spans="1:20" x14ac:dyDescent="0.4">
      <c r="A19" s="106" t="s">
        <v>200</v>
      </c>
      <c r="B19" s="327">
        <v>0</v>
      </c>
      <c r="C19" s="327">
        <v>0</v>
      </c>
      <c r="D19" s="327">
        <v>0</v>
      </c>
      <c r="E19" s="327">
        <v>0</v>
      </c>
      <c r="F19" s="328">
        <f t="shared" si="1"/>
        <v>0</v>
      </c>
      <c r="G19" s="334"/>
      <c r="H19" s="330"/>
      <c r="I19" s="327"/>
      <c r="J19" s="335">
        <f>'ตารางที่ 3ส่ง'!B13</f>
        <v>155475400.77261001</v>
      </c>
      <c r="K19" s="335">
        <f>'ตารางที่ 3ส่ง'!C13</f>
        <v>363949.33651199995</v>
      </c>
      <c r="L19" s="333">
        <f>'ตารางที่ 3ส่ง'!D13</f>
        <v>6376231.309094999</v>
      </c>
      <c r="M19" s="335">
        <f>'ตารางที่ 3ส่ง'!E13</f>
        <v>20459227.575906001</v>
      </c>
      <c r="N19" s="328">
        <f t="shared" si="2"/>
        <v>182674808.99412301</v>
      </c>
      <c r="O19" s="334">
        <v>10939</v>
      </c>
      <c r="P19" s="330" t="s">
        <v>100</v>
      </c>
      <c r="Q19" s="327">
        <f t="shared" si="3"/>
        <v>16699.406617983637</v>
      </c>
      <c r="R19" s="328">
        <v>0</v>
      </c>
      <c r="S19" s="328">
        <v>0</v>
      </c>
      <c r="T19" s="328">
        <v>0</v>
      </c>
    </row>
    <row r="20" spans="1:20" s="340" customFormat="1" x14ac:dyDescent="0.4">
      <c r="A20" s="147" t="s">
        <v>201</v>
      </c>
      <c r="B20" s="336">
        <v>0</v>
      </c>
      <c r="C20" s="336">
        <v>0</v>
      </c>
      <c r="D20" s="336">
        <v>0</v>
      </c>
      <c r="E20" s="336">
        <v>0</v>
      </c>
      <c r="F20" s="337">
        <f t="shared" si="1"/>
        <v>0</v>
      </c>
      <c r="G20" s="337"/>
      <c r="H20" s="337"/>
      <c r="I20" s="337"/>
      <c r="J20" s="569">
        <f>'ตารางที่ 3ส่ง'!B14</f>
        <v>832532.26651999995</v>
      </c>
      <c r="K20" s="569">
        <f>'ตารางที่ 3ส่ง'!C14</f>
        <v>2039.0339840000001</v>
      </c>
      <c r="L20" s="569">
        <f>'ตารางที่ 3ส่ง'!D14</f>
        <v>34143.139539999996</v>
      </c>
      <c r="M20" s="569">
        <f>'ตารางที่ 3ส่ง'!E14</f>
        <v>109554.09679200001</v>
      </c>
      <c r="N20" s="571">
        <f t="shared" si="2"/>
        <v>978268.53683599993</v>
      </c>
      <c r="O20" s="567">
        <v>60</v>
      </c>
      <c r="P20" s="572" t="s">
        <v>101</v>
      </c>
      <c r="Q20" s="573">
        <f t="shared" si="3"/>
        <v>16304.475613933331</v>
      </c>
      <c r="R20" s="575">
        <v>0</v>
      </c>
      <c r="S20" s="575">
        <v>0</v>
      </c>
      <c r="T20" s="575">
        <v>0</v>
      </c>
    </row>
    <row r="21" spans="1:20" s="340" customFormat="1" x14ac:dyDescent="0.4">
      <c r="A21" s="146" t="s">
        <v>113</v>
      </c>
      <c r="B21" s="341">
        <v>0</v>
      </c>
      <c r="C21" s="341">
        <v>0</v>
      </c>
      <c r="D21" s="341">
        <v>0</v>
      </c>
      <c r="E21" s="341">
        <v>0</v>
      </c>
      <c r="F21" s="342">
        <f t="shared" si="1"/>
        <v>0</v>
      </c>
      <c r="G21" s="343"/>
      <c r="H21" s="344"/>
      <c r="I21" s="341"/>
      <c r="J21" s="570"/>
      <c r="K21" s="570"/>
      <c r="L21" s="570"/>
      <c r="M21" s="570"/>
      <c r="N21" s="570"/>
      <c r="O21" s="568"/>
      <c r="P21" s="568"/>
      <c r="Q21" s="574"/>
      <c r="R21" s="576"/>
      <c r="S21" s="576"/>
      <c r="T21" s="576"/>
    </row>
    <row r="22" spans="1:20" x14ac:dyDescent="0.4">
      <c r="A22" s="513" t="s">
        <v>119</v>
      </c>
      <c r="B22" s="327">
        <v>0</v>
      </c>
      <c r="C22" s="327">
        <v>0</v>
      </c>
      <c r="D22" s="327">
        <v>0</v>
      </c>
      <c r="E22" s="327">
        <v>0</v>
      </c>
      <c r="F22" s="328">
        <f t="shared" si="1"/>
        <v>0</v>
      </c>
      <c r="G22" s="334"/>
      <c r="H22" s="330"/>
      <c r="I22" s="327"/>
      <c r="J22" s="345">
        <f>'ตารางที่ 3ส่ง'!B16</f>
        <v>11320688.58</v>
      </c>
      <c r="K22" s="345">
        <f>'ตารางที่ 3ส่ง'!C16</f>
        <v>0</v>
      </c>
      <c r="L22" s="345">
        <f>'ตารางที่ 3ส่ง'!D16</f>
        <v>37642.879999999997</v>
      </c>
      <c r="M22" s="345">
        <f>'ตารางที่ 3ส่ง'!E16</f>
        <v>653000.44999999995</v>
      </c>
      <c r="N22" s="346">
        <f>SUM(J22:M22)</f>
        <v>12011331.91</v>
      </c>
      <c r="O22" s="347">
        <v>10</v>
      </c>
      <c r="P22" s="348" t="s">
        <v>102</v>
      </c>
      <c r="Q22" s="349">
        <f t="shared" si="3"/>
        <v>1201133.1910000001</v>
      </c>
      <c r="R22" s="350">
        <v>0</v>
      </c>
      <c r="S22" s="350">
        <v>0</v>
      </c>
      <c r="T22" s="350">
        <v>0</v>
      </c>
    </row>
    <row r="23" spans="1:20" x14ac:dyDescent="0.4">
      <c r="A23" s="72" t="s">
        <v>202</v>
      </c>
      <c r="B23" s="327">
        <v>63112606.590000004</v>
      </c>
      <c r="C23" s="327">
        <v>344565.91</v>
      </c>
      <c r="D23" s="327">
        <v>4452889.4000000004</v>
      </c>
      <c r="E23" s="327">
        <v>9882576.6799999997</v>
      </c>
      <c r="F23" s="328">
        <f t="shared" si="1"/>
        <v>77792638.580000013</v>
      </c>
      <c r="G23" s="334">
        <v>13750</v>
      </c>
      <c r="H23" s="330" t="s">
        <v>99</v>
      </c>
      <c r="I23" s="327">
        <f t="shared" ref="I23:I83" si="6">+F23/G23</f>
        <v>5657.6464421818191</v>
      </c>
      <c r="J23" s="345">
        <f>'ตารางที่ 3ส่ง'!B17</f>
        <v>50368202.124460004</v>
      </c>
      <c r="K23" s="345">
        <f>'ตารางที่ 3ส่ง'!C17</f>
        <v>123361.55603199999</v>
      </c>
      <c r="L23" s="345">
        <f>'ตารางที่ 3ส่ง'!D17</f>
        <v>2065659.9421699997</v>
      </c>
      <c r="M23" s="345">
        <f>'ตารางที่ 3ส่ง'!E17</f>
        <v>6628022.8559160009</v>
      </c>
      <c r="N23" s="328">
        <f t="shared" si="2"/>
        <v>59185246.478578009</v>
      </c>
      <c r="O23" s="334">
        <v>12479</v>
      </c>
      <c r="P23" s="330" t="s">
        <v>100</v>
      </c>
      <c r="Q23" s="327">
        <f t="shared" si="3"/>
        <v>4742.7876014566882</v>
      </c>
      <c r="R23" s="531">
        <f t="shared" ref="R23:S81" si="7">SUM(N23-F23)*100/F23</f>
        <v>-23.919219660208114</v>
      </c>
      <c r="S23" s="531">
        <f t="shared" ref="S23:S35" si="8">SUM(O23-G23)*100/G23</f>
        <v>-9.2436363636363641</v>
      </c>
      <c r="T23" s="531">
        <f t="shared" si="0"/>
        <v>-16.170307743237558</v>
      </c>
    </row>
    <row r="24" spans="1:20" x14ac:dyDescent="0.4">
      <c r="A24" s="145" t="s">
        <v>203</v>
      </c>
      <c r="B24" s="327">
        <v>59117338.109999999</v>
      </c>
      <c r="C24" s="327">
        <v>287285.13</v>
      </c>
      <c r="D24" s="327">
        <v>3712639.25</v>
      </c>
      <c r="E24" s="327">
        <v>8239693.0800000001</v>
      </c>
      <c r="F24" s="328">
        <f>SUM(B24:E24)+0.01</f>
        <v>71356955.580000013</v>
      </c>
      <c r="G24" s="334">
        <v>19559</v>
      </c>
      <c r="H24" s="330" t="s">
        <v>100</v>
      </c>
      <c r="I24" s="327">
        <f t="shared" si="6"/>
        <v>3648.2926315251298</v>
      </c>
      <c r="J24" s="345">
        <f>'ตารางที่ 3ส่ง'!B18</f>
        <v>45581141.591969997</v>
      </c>
      <c r="K24" s="345">
        <f>'ตารางที่ 3ส่ง'!C18</f>
        <v>111637.11062400001</v>
      </c>
      <c r="L24" s="345">
        <f>'ตารางที่ 3ส่ง'!D18</f>
        <v>1869336.8898149997</v>
      </c>
      <c r="M24" s="345">
        <f>'ตารางที่ 3ส่ง'!E18</f>
        <v>5998086.7993620001</v>
      </c>
      <c r="N24" s="350">
        <f t="shared" si="2"/>
        <v>53560202.391771004</v>
      </c>
      <c r="O24" s="347">
        <v>11869</v>
      </c>
      <c r="P24" s="348" t="s">
        <v>100</v>
      </c>
      <c r="Q24" s="349">
        <f t="shared" si="3"/>
        <v>4512.6128900304157</v>
      </c>
      <c r="R24" s="531">
        <f t="shared" si="7"/>
        <v>-24.940460314729428</v>
      </c>
      <c r="S24" s="531">
        <f t="shared" si="8"/>
        <v>-39.31693849378803</v>
      </c>
      <c r="T24" s="531">
        <f t="shared" si="0"/>
        <v>23.691089114854421</v>
      </c>
    </row>
    <row r="25" spans="1:20" x14ac:dyDescent="0.4">
      <c r="A25" s="72" t="s">
        <v>114</v>
      </c>
      <c r="B25" s="327">
        <v>0</v>
      </c>
      <c r="C25" s="327">
        <v>0</v>
      </c>
      <c r="D25" s="327">
        <v>0</v>
      </c>
      <c r="E25" s="327">
        <v>0</v>
      </c>
      <c r="F25" s="328">
        <f t="shared" si="1"/>
        <v>0</v>
      </c>
      <c r="G25" s="334">
        <v>0</v>
      </c>
      <c r="H25" s="298"/>
      <c r="I25" s="327"/>
      <c r="J25" s="345">
        <f>'ตารางที่ 3ส่ง'!B19</f>
        <v>4091057.47</v>
      </c>
      <c r="K25" s="345">
        <f>'ตารางที่ 3ส่ง'!C19</f>
        <v>864.24</v>
      </c>
      <c r="L25" s="345">
        <f>'ตารางที่ 3ส่ง'!D19</f>
        <v>16847.810000000001</v>
      </c>
      <c r="M25" s="345">
        <f>'ตารางที่ 3ส่ง'!E19</f>
        <v>32456.21</v>
      </c>
      <c r="N25" s="328">
        <f t="shared" si="2"/>
        <v>4141225.7300000004</v>
      </c>
      <c r="O25" s="334">
        <v>3</v>
      </c>
      <c r="P25" s="330" t="s">
        <v>104</v>
      </c>
      <c r="Q25" s="327">
        <f t="shared" si="3"/>
        <v>1380408.5766666669</v>
      </c>
      <c r="R25" s="328">
        <v>0</v>
      </c>
      <c r="S25" s="328">
        <v>0</v>
      </c>
      <c r="T25" s="328">
        <v>0</v>
      </c>
    </row>
    <row r="26" spans="1:20" ht="32.4" x14ac:dyDescent="0.4">
      <c r="A26" s="145" t="s">
        <v>115</v>
      </c>
      <c r="B26" s="327">
        <v>7370830.3099999996</v>
      </c>
      <c r="C26" s="327">
        <v>64330.720000000001</v>
      </c>
      <c r="D26" s="327">
        <v>831357.87</v>
      </c>
      <c r="E26" s="327">
        <v>1845084.65</v>
      </c>
      <c r="F26" s="328">
        <f t="shared" si="1"/>
        <v>10111603.549999999</v>
      </c>
      <c r="G26" s="334">
        <v>1235</v>
      </c>
      <c r="H26" s="298" t="s">
        <v>100</v>
      </c>
      <c r="I26" s="327">
        <f>+F26/G26</f>
        <v>8187.5332388663955</v>
      </c>
      <c r="J26" s="345">
        <f>'ตารางที่ 3ส่ง'!B20</f>
        <v>1426948</v>
      </c>
      <c r="K26" s="345">
        <f>'ตารางที่ 3ส่ง'!C20</f>
        <v>0</v>
      </c>
      <c r="L26" s="345">
        <f>'ตารางที่ 3ส่ง'!D20</f>
        <v>132660</v>
      </c>
      <c r="M26" s="345">
        <f>'ตารางที่ 3ส่ง'!E20</f>
        <v>617577</v>
      </c>
      <c r="N26" s="350">
        <f t="shared" si="2"/>
        <v>2177185</v>
      </c>
      <c r="O26" s="347">
        <v>25924</v>
      </c>
      <c r="P26" s="348" t="s">
        <v>100</v>
      </c>
      <c r="Q26" s="349">
        <f t="shared" si="3"/>
        <v>83.983374479247033</v>
      </c>
      <c r="R26" s="531">
        <f t="shared" si="7"/>
        <v>-78.468449744551151</v>
      </c>
      <c r="S26" s="531">
        <f>+(O26-G26)*100/G26</f>
        <v>1999.1093117408907</v>
      </c>
      <c r="T26" s="531">
        <f>+(Q26-I26)*100/I26</f>
        <v>-98.97425302555628</v>
      </c>
    </row>
    <row r="27" spans="1:20" x14ac:dyDescent="0.4">
      <c r="A27" s="106" t="s">
        <v>298</v>
      </c>
      <c r="B27" s="327">
        <v>0</v>
      </c>
      <c r="C27" s="327">
        <v>0</v>
      </c>
      <c r="D27" s="327">
        <v>0</v>
      </c>
      <c r="E27" s="327">
        <v>0</v>
      </c>
      <c r="F27" s="328">
        <f t="shared" si="1"/>
        <v>0</v>
      </c>
      <c r="G27" s="334"/>
      <c r="H27" s="330"/>
      <c r="I27" s="327"/>
      <c r="J27" s="345">
        <f>'ตารางที่ 3ส่ง'!B21</f>
        <v>13320516.264319999</v>
      </c>
      <c r="K27" s="345">
        <f>'ตารางที่ 3ส่ง'!C21</f>
        <v>32624.543744000002</v>
      </c>
      <c r="L27" s="345">
        <f>'ตารางที่ 3ส่ง'!D21</f>
        <v>546290.23263999994</v>
      </c>
      <c r="M27" s="345">
        <f>'ตารางที่ 3ส่ง'!E21</f>
        <v>1752865.5486720002</v>
      </c>
      <c r="N27" s="328">
        <f t="shared" si="2"/>
        <v>15652296.589375999</v>
      </c>
      <c r="O27" s="334">
        <v>4063</v>
      </c>
      <c r="P27" s="330" t="s">
        <v>100</v>
      </c>
      <c r="Q27" s="327">
        <f t="shared" si="3"/>
        <v>3852.3988652168346</v>
      </c>
      <c r="R27" s="328">
        <v>0</v>
      </c>
      <c r="S27" s="328">
        <v>0</v>
      </c>
      <c r="T27" s="328">
        <v>0</v>
      </c>
    </row>
    <row r="28" spans="1:20" x14ac:dyDescent="0.4">
      <c r="A28" s="106" t="s">
        <v>205</v>
      </c>
      <c r="B28" s="327">
        <v>102360091.62</v>
      </c>
      <c r="C28" s="327">
        <v>528745.64</v>
      </c>
      <c r="D28" s="327">
        <v>6833078.3700000001</v>
      </c>
      <c r="E28" s="327">
        <v>15165079.300000001</v>
      </c>
      <c r="F28" s="328">
        <f t="shared" si="1"/>
        <v>124886994.93000001</v>
      </c>
      <c r="G28" s="334">
        <v>77344</v>
      </c>
      <c r="H28" s="330" t="s">
        <v>100</v>
      </c>
      <c r="I28" s="327">
        <f t="shared" si="6"/>
        <v>1614.6953212918909</v>
      </c>
      <c r="J28" s="345">
        <f>'ตารางที่ 3ส่ง'!B22</f>
        <v>25808500.262119997</v>
      </c>
      <c r="K28" s="345">
        <f>'ตารางที่ 3ส่ง'!C22</f>
        <v>63210.053503999996</v>
      </c>
      <c r="L28" s="345">
        <f>'ตารางที่ 3ส่ง'!D22</f>
        <v>2081975.6457399996</v>
      </c>
      <c r="M28" s="345">
        <f>'ตารางที่ 3ส่ง'!E22</f>
        <v>7587450.6705520004</v>
      </c>
      <c r="N28" s="328">
        <f t="shared" si="2"/>
        <v>35541136.631916001</v>
      </c>
      <c r="O28" s="334">
        <v>36832</v>
      </c>
      <c r="P28" s="330" t="s">
        <v>100</v>
      </c>
      <c r="Q28" s="327">
        <f t="shared" si="3"/>
        <v>964.95266702639015</v>
      </c>
      <c r="R28" s="531">
        <f t="shared" si="7"/>
        <v>-71.541362932275661</v>
      </c>
      <c r="S28" s="531">
        <f t="shared" si="8"/>
        <v>-52.378982209350433</v>
      </c>
      <c r="T28" s="531">
        <f t="shared" si="0"/>
        <v>-40.239334671859481</v>
      </c>
    </row>
    <row r="29" spans="1:20" x14ac:dyDescent="0.4">
      <c r="A29" s="72" t="s">
        <v>206</v>
      </c>
      <c r="B29" s="327">
        <v>0</v>
      </c>
      <c r="C29" s="327">
        <v>0</v>
      </c>
      <c r="D29" s="327">
        <v>0</v>
      </c>
      <c r="E29" s="327">
        <v>0</v>
      </c>
      <c r="F29" s="328">
        <f t="shared" si="1"/>
        <v>0</v>
      </c>
      <c r="G29" s="334"/>
      <c r="H29" s="330"/>
      <c r="I29" s="327"/>
      <c r="J29" s="345">
        <f>'ตารางที่ 3ส่ง'!B23</f>
        <v>1873197.5996699997</v>
      </c>
      <c r="K29" s="345">
        <f>'ตารางที่ 3ส่ง'!C23</f>
        <v>4587.8264639999998</v>
      </c>
      <c r="L29" s="345">
        <f>'ตารางที่ 3ส่ง'!D23</f>
        <v>76822.063964999994</v>
      </c>
      <c r="M29" s="345">
        <f>'ตารางที่ 3ส่ง'!E23</f>
        <v>246496.71778199999</v>
      </c>
      <c r="N29" s="328">
        <f t="shared" si="2"/>
        <v>2201104.2078809994</v>
      </c>
      <c r="O29" s="334">
        <v>129</v>
      </c>
      <c r="P29" s="330" t="s">
        <v>99</v>
      </c>
      <c r="Q29" s="327">
        <f t="shared" si="3"/>
        <v>17062.823316906972</v>
      </c>
      <c r="R29" s="328">
        <v>0</v>
      </c>
      <c r="S29" s="328">
        <v>0</v>
      </c>
      <c r="T29" s="328">
        <v>0</v>
      </c>
    </row>
    <row r="30" spans="1:20" s="340" customFormat="1" x14ac:dyDescent="0.4">
      <c r="A30" s="106" t="s">
        <v>297</v>
      </c>
      <c r="B30" s="327">
        <v>0</v>
      </c>
      <c r="C30" s="327">
        <v>0</v>
      </c>
      <c r="D30" s="327">
        <v>0</v>
      </c>
      <c r="E30" s="327">
        <v>0</v>
      </c>
      <c r="F30" s="328">
        <f t="shared" si="1"/>
        <v>0</v>
      </c>
      <c r="G30" s="334"/>
      <c r="H30" s="330"/>
      <c r="I30" s="327"/>
      <c r="J30" s="345">
        <f>'ตารางที่ 3ส่ง'!B24</f>
        <v>15818113.06388</v>
      </c>
      <c r="K30" s="345">
        <f>'ตารางที่ 3ส่ง'!C24</f>
        <v>38741.645696</v>
      </c>
      <c r="L30" s="345">
        <f>'ตารางที่ 3ส่ง'!D24</f>
        <v>648719.65125999996</v>
      </c>
      <c r="M30" s="345">
        <f>'ตารางที่ 3ส่ง'!E24</f>
        <v>2081527.8390480003</v>
      </c>
      <c r="N30" s="328">
        <f>+J30+K30+L30+M30</f>
        <v>18587102.199884001</v>
      </c>
      <c r="O30" s="334">
        <v>5071</v>
      </c>
      <c r="P30" s="330" t="s">
        <v>100</v>
      </c>
      <c r="Q30" s="327">
        <f t="shared" si="3"/>
        <v>3665.3721553705386</v>
      </c>
      <c r="R30" s="328">
        <v>0</v>
      </c>
      <c r="S30" s="328">
        <v>0</v>
      </c>
      <c r="T30" s="328">
        <v>0</v>
      </c>
    </row>
    <row r="31" spans="1:20" x14ac:dyDescent="0.4">
      <c r="A31" s="72" t="s">
        <v>120</v>
      </c>
      <c r="B31" s="327">
        <v>0</v>
      </c>
      <c r="C31" s="327">
        <v>0</v>
      </c>
      <c r="D31" s="327">
        <v>0</v>
      </c>
      <c r="E31" s="327">
        <v>0</v>
      </c>
      <c r="F31" s="328">
        <f t="shared" si="1"/>
        <v>0</v>
      </c>
      <c r="G31" s="334"/>
      <c r="H31" s="330"/>
      <c r="I31" s="327"/>
      <c r="J31" s="345">
        <f>'ตารางที่ 3ส่ง'!B25</f>
        <v>4555666.55</v>
      </c>
      <c r="K31" s="345">
        <f>'ตารางที่ 3ส่ง'!C25</f>
        <v>0</v>
      </c>
      <c r="L31" s="345">
        <f>'ตารางที่ 3ส่ง'!D25</f>
        <v>31380.51</v>
      </c>
      <c r="M31" s="345">
        <f>'ตารางที่ 3ส่ง'!E25</f>
        <v>97832.3</v>
      </c>
      <c r="N31" s="328">
        <f t="shared" si="2"/>
        <v>4684879.3599999994</v>
      </c>
      <c r="O31" s="334">
        <v>246</v>
      </c>
      <c r="P31" s="330" t="s">
        <v>100</v>
      </c>
      <c r="Q31" s="327">
        <f t="shared" si="3"/>
        <v>19044.225040650403</v>
      </c>
      <c r="R31" s="328">
        <v>0</v>
      </c>
      <c r="S31" s="328">
        <v>0</v>
      </c>
      <c r="T31" s="328">
        <v>0</v>
      </c>
    </row>
    <row r="32" spans="1:20" x14ac:dyDescent="0.4">
      <c r="A32" s="72" t="s">
        <v>337</v>
      </c>
      <c r="B32" s="327">
        <v>51687629.68</v>
      </c>
      <c r="C32" s="327">
        <v>440621.37</v>
      </c>
      <c r="D32" s="327">
        <v>5694231.9699999997</v>
      </c>
      <c r="E32" s="327">
        <v>12637566.08</v>
      </c>
      <c r="F32" s="328">
        <f>SUM(B32:E32)+0.01</f>
        <v>70460049.109999999</v>
      </c>
      <c r="G32" s="334">
        <v>2429</v>
      </c>
      <c r="H32" s="330" t="s">
        <v>100</v>
      </c>
      <c r="I32" s="327">
        <f t="shared" si="6"/>
        <v>29007.842367229314</v>
      </c>
      <c r="J32" s="345">
        <f>'ตารางที่ 3ส่ง'!B26</f>
        <v>26849165.59527</v>
      </c>
      <c r="K32" s="345">
        <f>'ตารางที่ 3ส่ง'!C26</f>
        <v>65758.845984</v>
      </c>
      <c r="L32" s="345">
        <f>'ตารางที่ 3ส่ง'!D26</f>
        <v>1101116.2501649999</v>
      </c>
      <c r="M32" s="345">
        <f>'ตารางที่ 3ส่ง'!E26</f>
        <v>3533119.6215420002</v>
      </c>
      <c r="N32" s="328">
        <f t="shared" si="2"/>
        <v>31549160.312961001</v>
      </c>
      <c r="O32" s="334">
        <v>2003</v>
      </c>
      <c r="P32" s="330" t="s">
        <v>100</v>
      </c>
      <c r="Q32" s="327">
        <f t="shared" si="3"/>
        <v>15750.953725891663</v>
      </c>
      <c r="R32" s="531">
        <f t="shared" si="7"/>
        <v>-55.224044389030375</v>
      </c>
      <c r="S32" s="531">
        <f t="shared" si="8"/>
        <v>-17.538081515026761</v>
      </c>
      <c r="T32" s="531">
        <f t="shared" si="0"/>
        <v>-45.70105033497493</v>
      </c>
    </row>
    <row r="33" spans="1:20" s="340" customFormat="1" x14ac:dyDescent="0.4">
      <c r="A33" s="72" t="s">
        <v>346</v>
      </c>
      <c r="B33" s="327">
        <v>14409857.07</v>
      </c>
      <c r="C33" s="327">
        <v>185060.98</v>
      </c>
      <c r="D33" s="327">
        <v>2391577.4300000002</v>
      </c>
      <c r="E33" s="327">
        <v>5307777.75</v>
      </c>
      <c r="F33" s="328">
        <f t="shared" si="1"/>
        <v>22294273.23</v>
      </c>
      <c r="G33" s="334">
        <v>15</v>
      </c>
      <c r="H33" s="298" t="s">
        <v>101</v>
      </c>
      <c r="I33" s="298">
        <f>+F33/G33</f>
        <v>1486284.882</v>
      </c>
      <c r="J33" s="345">
        <f>'ตารางที่ 3ส่ง'!B27</f>
        <v>11031052.53139</v>
      </c>
      <c r="K33" s="345">
        <f>'ตารางที่ 3ส่ง'!C27</f>
        <v>27017.200288</v>
      </c>
      <c r="L33" s="345">
        <f>'ตารางที่ 3ส่ง'!D27</f>
        <v>952396.59890500002</v>
      </c>
      <c r="M33" s="345">
        <f>'ตารางที่ 3ส่ง'!E27</f>
        <v>1451591.7824940002</v>
      </c>
      <c r="N33" s="328">
        <f t="shared" si="2"/>
        <v>13462058.113077</v>
      </c>
      <c r="O33" s="334">
        <v>35</v>
      </c>
      <c r="P33" s="330" t="s">
        <v>101</v>
      </c>
      <c r="Q33" s="327">
        <f t="shared" si="3"/>
        <v>384630.23180219997</v>
      </c>
      <c r="R33" s="531">
        <f t="shared" si="7"/>
        <v>-39.616519568971839</v>
      </c>
      <c r="S33" s="531">
        <f t="shared" si="8"/>
        <v>133.33333333333334</v>
      </c>
      <c r="T33" s="531">
        <f t="shared" si="0"/>
        <v>-74.121365529559355</v>
      </c>
    </row>
    <row r="34" spans="1:20" x14ac:dyDescent="0.4">
      <c r="A34" s="172" t="s">
        <v>347</v>
      </c>
      <c r="B34" s="349">
        <v>439292359.41000003</v>
      </c>
      <c r="C34" s="349">
        <v>2771508.42</v>
      </c>
      <c r="D34" s="349">
        <v>35816719.109999999</v>
      </c>
      <c r="E34" s="349">
        <v>79490290.650000006</v>
      </c>
      <c r="F34" s="350">
        <f t="shared" si="1"/>
        <v>557370877.59000003</v>
      </c>
      <c r="G34" s="347">
        <v>3978493</v>
      </c>
      <c r="H34" s="348" t="s">
        <v>100</v>
      </c>
      <c r="I34" s="327">
        <f t="shared" si="6"/>
        <v>140.09598046044067</v>
      </c>
      <c r="J34" s="345">
        <f>'ตารางที่ 3ส่ง'!B28</f>
        <v>316778527.41086</v>
      </c>
      <c r="K34" s="345">
        <f>'ตารางที่ 3ส่ง'!C28</f>
        <v>775852.43091200013</v>
      </c>
      <c r="L34" s="345">
        <f>'ตารางที่ 3ส่ง'!D28</f>
        <v>12991464.594969999</v>
      </c>
      <c r="M34" s="345">
        <f>'ตารางที่ 3ส่ง'!E28</f>
        <v>41685333.829356</v>
      </c>
      <c r="N34" s="328">
        <f t="shared" ref="N34:N48" si="9">SUM(J34:M34)</f>
        <v>372231178.26609802</v>
      </c>
      <c r="O34" s="329">
        <v>4391901</v>
      </c>
      <c r="P34" s="298" t="s">
        <v>100</v>
      </c>
      <c r="Q34" s="327">
        <f t="shared" si="3"/>
        <v>84.754000207677279</v>
      </c>
      <c r="R34" s="531">
        <f t="shared" si="7"/>
        <v>-33.216607965673099</v>
      </c>
      <c r="S34" s="531">
        <f t="shared" si="8"/>
        <v>10.391070186625941</v>
      </c>
      <c r="T34" s="531">
        <f t="shared" si="0"/>
        <v>-39.502903702787158</v>
      </c>
    </row>
    <row r="35" spans="1:20" x14ac:dyDescent="0.4">
      <c r="A35" s="106" t="s">
        <v>348</v>
      </c>
      <c r="B35" s="327">
        <v>67352921.930000007</v>
      </c>
      <c r="C35" s="327">
        <v>593076.36</v>
      </c>
      <c r="D35" s="327">
        <v>7664436.2400000002</v>
      </c>
      <c r="E35" s="327">
        <v>17010163.949999999</v>
      </c>
      <c r="F35" s="328">
        <f t="shared" si="1"/>
        <v>92620598.480000004</v>
      </c>
      <c r="G35" s="334">
        <v>17</v>
      </c>
      <c r="H35" s="298" t="s">
        <v>102</v>
      </c>
      <c r="I35" s="327">
        <f t="shared" si="6"/>
        <v>5448270.49882353</v>
      </c>
      <c r="J35" s="345">
        <f>'ตารางที่ 3ส่ง'!B29</f>
        <v>48801852.911499999</v>
      </c>
      <c r="K35" s="345">
        <f>'ตารางที่ 3ส่ง'!C29</f>
        <v>25487.924800000001</v>
      </c>
      <c r="L35" s="345">
        <f>'ตารางที่ 3ส่ง'!D29</f>
        <v>944456.69424999994</v>
      </c>
      <c r="M35" s="345">
        <f>'ตารางที่ 3ส่ง'!E29</f>
        <v>1369426.2099000001</v>
      </c>
      <c r="N35" s="328">
        <f>SUM(J35:M35)+0.01</f>
        <v>51141223.75045</v>
      </c>
      <c r="O35" s="351">
        <v>21</v>
      </c>
      <c r="P35" s="298" t="s">
        <v>102</v>
      </c>
      <c r="Q35" s="327">
        <f t="shared" si="3"/>
        <v>2435296.3690690477</v>
      </c>
      <c r="R35" s="531">
        <f t="shared" si="7"/>
        <v>-44.784179124589478</v>
      </c>
      <c r="S35" s="531">
        <f t="shared" si="8"/>
        <v>23.529411764705884</v>
      </c>
      <c r="T35" s="531">
        <f t="shared" si="0"/>
        <v>-55.301478338953395</v>
      </c>
    </row>
    <row r="36" spans="1:20" x14ac:dyDescent="0.4">
      <c r="A36" s="72" t="s">
        <v>349</v>
      </c>
      <c r="B36" s="327">
        <v>3043228.43</v>
      </c>
      <c r="C36" s="327">
        <v>14981.13</v>
      </c>
      <c r="D36" s="327">
        <v>193603.89</v>
      </c>
      <c r="E36" s="327">
        <v>429677.25</v>
      </c>
      <c r="F36" s="328">
        <f t="shared" si="1"/>
        <v>3681490.7</v>
      </c>
      <c r="G36" s="334">
        <v>61</v>
      </c>
      <c r="H36" s="298" t="s">
        <v>100</v>
      </c>
      <c r="I36" s="327">
        <f t="shared" si="6"/>
        <v>60352.306557377051</v>
      </c>
      <c r="J36" s="345">
        <f>'ตารางที่ 3ส่ง'!B30</f>
        <v>3330129.0660799998</v>
      </c>
      <c r="K36" s="345">
        <f>'ตารางที่ 3ส่ง'!C30</f>
        <v>8156.1359360000006</v>
      </c>
      <c r="L36" s="345">
        <f>'ตารางที่ 3ส่ง'!D30</f>
        <v>136572.55815999999</v>
      </c>
      <c r="M36" s="345">
        <f>'ตารางที่ 3ส่ง'!E30</f>
        <v>438216.38716800004</v>
      </c>
      <c r="N36" s="328">
        <f>SUM(J36:M36)-0.01</f>
        <v>3913074.1373439999</v>
      </c>
      <c r="O36" s="351">
        <v>114</v>
      </c>
      <c r="P36" s="298" t="s">
        <v>100</v>
      </c>
      <c r="Q36" s="327">
        <f t="shared" si="3"/>
        <v>34325.211731087722</v>
      </c>
      <c r="R36" s="531">
        <f t="shared" ref="R36" si="10">SUM(N36-F36)*100/F36</f>
        <v>6.2904800314720264</v>
      </c>
      <c r="S36" s="531">
        <f t="shared" ref="S36" si="11">SUM(O36-G36)*100/G36</f>
        <v>86.885245901639351</v>
      </c>
      <c r="T36" s="531">
        <f t="shared" ref="T36" si="12">SUM(Q36-I36)*100/I36</f>
        <v>-43.125269456843903</v>
      </c>
    </row>
    <row r="37" spans="1:20" ht="32.4" x14ac:dyDescent="0.4">
      <c r="A37" s="145" t="s">
        <v>350</v>
      </c>
      <c r="B37" s="352">
        <v>26052449.120000001</v>
      </c>
      <c r="C37" s="352">
        <v>153336.24</v>
      </c>
      <c r="D37" s="352">
        <v>1981592.73</v>
      </c>
      <c r="E37" s="352">
        <v>4397873</v>
      </c>
      <c r="F37" s="346">
        <f>SUM(B37:E37)</f>
        <v>32585251.09</v>
      </c>
      <c r="G37" s="347">
        <v>3</v>
      </c>
      <c r="H37" s="352" t="s">
        <v>295</v>
      </c>
      <c r="I37" s="327">
        <f t="shared" si="6"/>
        <v>10861750.363333333</v>
      </c>
      <c r="J37" s="345">
        <f>'ตารางที่ 3ส่ง'!B31</f>
        <v>7492790.3986799987</v>
      </c>
      <c r="K37" s="345">
        <f>'ตารางที่ 3ส่ง'!C31</f>
        <v>18351.305855999999</v>
      </c>
      <c r="L37" s="345">
        <f>'ตารางที่ 3ส่ง'!D31</f>
        <v>307288.25585999998</v>
      </c>
      <c r="M37" s="345">
        <f>'ตารางที่ 3ส่ง'!E31</f>
        <v>985986.87112799997</v>
      </c>
      <c r="N37" s="328">
        <f>SUM(J37:M37)-0.01</f>
        <v>8804416.8215239979</v>
      </c>
      <c r="O37" s="351">
        <v>5</v>
      </c>
      <c r="P37" s="298" t="s">
        <v>105</v>
      </c>
      <c r="Q37" s="327">
        <f t="shared" si="3"/>
        <v>1760883.3643047996</v>
      </c>
      <c r="R37" s="531">
        <f t="shared" si="7"/>
        <v>-72.980362197589557</v>
      </c>
      <c r="S37" s="531">
        <f t="shared" si="7"/>
        <v>66.666666666666671</v>
      </c>
      <c r="T37" s="531">
        <f t="shared" si="0"/>
        <v>-83.788217318553734</v>
      </c>
    </row>
    <row r="38" spans="1:20" x14ac:dyDescent="0.4">
      <c r="A38" s="106" t="s">
        <v>351</v>
      </c>
      <c r="B38" s="327">
        <v>28260894.5</v>
      </c>
      <c r="C38" s="327">
        <v>136592.62</v>
      </c>
      <c r="D38" s="327">
        <v>1765211.91</v>
      </c>
      <c r="E38" s="327">
        <v>3917645.49</v>
      </c>
      <c r="F38" s="328">
        <f>SUM(B38:E38)</f>
        <v>34080344.520000003</v>
      </c>
      <c r="G38" s="334">
        <v>14365</v>
      </c>
      <c r="H38" s="298" t="s">
        <v>100</v>
      </c>
      <c r="I38" s="327">
        <f t="shared" si="6"/>
        <v>2372.4569801601115</v>
      </c>
      <c r="J38" s="345">
        <f>'ตารางที่ 3ส่ง'!B32</f>
        <v>72222174.120609999</v>
      </c>
      <c r="K38" s="345">
        <f>'ตารางที่ 3ส่ง'!C32</f>
        <v>176886.19811200001</v>
      </c>
      <c r="L38" s="345">
        <f>'ตารางที่ 3ส่ง'!D32</f>
        <v>2961917.3550949995</v>
      </c>
      <c r="M38" s="345">
        <f>'ตารางที่ 3ส่ง'!E32</f>
        <v>9503817.8967060018</v>
      </c>
      <c r="N38" s="328">
        <f>SUM(J38:M38)+0.01</f>
        <v>84864795.580522999</v>
      </c>
      <c r="O38" s="351">
        <v>31569</v>
      </c>
      <c r="P38" s="298" t="s">
        <v>100</v>
      </c>
      <c r="Q38" s="327">
        <f t="shared" si="3"/>
        <v>2688.2319864589631</v>
      </c>
      <c r="R38" s="531">
        <f t="shared" si="7"/>
        <v>149.0139016368224</v>
      </c>
      <c r="S38" s="531">
        <f t="shared" si="7"/>
        <v>119.76331360946746</v>
      </c>
      <c r="T38" s="531">
        <f t="shared" si="0"/>
        <v>13.310041401785112</v>
      </c>
    </row>
    <row r="39" spans="1:20" x14ac:dyDescent="0.4">
      <c r="A39" s="72" t="s">
        <v>352</v>
      </c>
      <c r="B39" s="327">
        <v>27142658.59</v>
      </c>
      <c r="C39" s="327">
        <v>131305.17000000001</v>
      </c>
      <c r="D39" s="327">
        <v>1696881.13</v>
      </c>
      <c r="E39" s="327">
        <v>3765994.69</v>
      </c>
      <c r="F39" s="328">
        <f>SUM(B39:E39)-0.01</f>
        <v>32736839.57</v>
      </c>
      <c r="G39" s="334">
        <v>7906</v>
      </c>
      <c r="H39" s="298" t="s">
        <v>100</v>
      </c>
      <c r="I39" s="327">
        <f t="shared" si="6"/>
        <v>4140.7588628889453</v>
      </c>
      <c r="J39" s="345">
        <f>'ตารางที่ 3ส่ง'!B33</f>
        <v>24975967.9956</v>
      </c>
      <c r="K39" s="345">
        <f>'ตารางที่ 3ส่ง'!C33</f>
        <v>61171.019519999994</v>
      </c>
      <c r="L39" s="345">
        <f>'ตารางที่ 3ส่ง'!D33</f>
        <v>1024294.1861999999</v>
      </c>
      <c r="M39" s="345">
        <f>'ตารางที่ 3ส่ง'!E33</f>
        <v>3286622.9037599997</v>
      </c>
      <c r="N39" s="328">
        <f t="shared" si="9"/>
        <v>29348056.105080001</v>
      </c>
      <c r="O39" s="351">
        <v>8200</v>
      </c>
      <c r="P39" s="298" t="s">
        <v>100</v>
      </c>
      <c r="Q39" s="327">
        <f t="shared" si="3"/>
        <v>3579.0312323268295</v>
      </c>
      <c r="R39" s="531">
        <f t="shared" si="7"/>
        <v>-10.35159016396157</v>
      </c>
      <c r="S39" s="531">
        <f t="shared" si="7"/>
        <v>3.7186946622818113</v>
      </c>
      <c r="T39" s="531">
        <f t="shared" si="0"/>
        <v>-13.565813638570754</v>
      </c>
    </row>
    <row r="40" spans="1:20" ht="21.6" customHeight="1" x14ac:dyDescent="0.4">
      <c r="A40" s="145" t="s">
        <v>369</v>
      </c>
      <c r="B40" s="349">
        <v>918796.6</v>
      </c>
      <c r="C40" s="349">
        <v>4406.21</v>
      </c>
      <c r="D40" s="349">
        <v>56942.32</v>
      </c>
      <c r="E40" s="349">
        <v>126375.66</v>
      </c>
      <c r="F40" s="350">
        <f>SUM(B40:E40)</f>
        <v>1106520.7899999998</v>
      </c>
      <c r="G40" s="347">
        <v>171</v>
      </c>
      <c r="H40" s="352" t="s">
        <v>100</v>
      </c>
      <c r="I40" s="349">
        <f t="shared" si="6"/>
        <v>6470.8818128654957</v>
      </c>
      <c r="J40" s="345">
        <f>'ตารางที่ 3ส่ง'!B34</f>
        <v>298823.67999999999</v>
      </c>
      <c r="K40" s="345">
        <f>'ตารางที่ 3ส่ง'!C34</f>
        <v>0</v>
      </c>
      <c r="L40" s="345">
        <f>'ตารางที่ 3ส่ง'!D34</f>
        <v>0</v>
      </c>
      <c r="M40" s="345">
        <f>'ตารางที่ 3ส่ง'!E34</f>
        <v>0</v>
      </c>
      <c r="N40" s="350">
        <f t="shared" si="9"/>
        <v>298823.67999999999</v>
      </c>
      <c r="O40" s="490">
        <v>170</v>
      </c>
      <c r="P40" s="349" t="s">
        <v>100</v>
      </c>
      <c r="Q40" s="349">
        <f t="shared" si="3"/>
        <v>1757.7863529411763</v>
      </c>
      <c r="R40" s="532">
        <f t="shared" si="7"/>
        <v>-72.994300450513904</v>
      </c>
      <c r="S40" s="532">
        <f t="shared" si="7"/>
        <v>-0.58479532163742687</v>
      </c>
      <c r="T40" s="532">
        <f t="shared" si="0"/>
        <v>-72.835443394340444</v>
      </c>
    </row>
    <row r="41" spans="1:20" ht="32.4" x14ac:dyDescent="0.4">
      <c r="A41" s="145" t="s">
        <v>354</v>
      </c>
      <c r="B41" s="349">
        <v>0</v>
      </c>
      <c r="C41" s="349">
        <v>0</v>
      </c>
      <c r="D41" s="349">
        <v>0</v>
      </c>
      <c r="E41" s="349">
        <v>0</v>
      </c>
      <c r="F41" s="350">
        <f>SUM(B41:E41)</f>
        <v>0</v>
      </c>
      <c r="G41" s="347"/>
      <c r="H41" s="352"/>
      <c r="I41" s="349"/>
      <c r="J41" s="345">
        <f>'ตารางที่ 3ส่ง'!B35</f>
        <v>91994815.450460002</v>
      </c>
      <c r="K41" s="345">
        <f>'ตารางที่ 3ส่ง'!C35</f>
        <v>225313.25523199997</v>
      </c>
      <c r="L41" s="345">
        <f>'ตารางที่ 3ส่ง'!D35</f>
        <v>3772816.9191700001</v>
      </c>
      <c r="M41" s="345">
        <f>'ตารางที่ 3ส่ง'!E35</f>
        <v>12105727.695516</v>
      </c>
      <c r="N41" s="350">
        <f>SUM(J41:M41)+0.01</f>
        <v>108098673.33037803</v>
      </c>
      <c r="O41" s="491">
        <v>10939</v>
      </c>
      <c r="P41" s="352" t="s">
        <v>100</v>
      </c>
      <c r="Q41" s="349">
        <f t="shared" si="3"/>
        <v>9881.9520367838031</v>
      </c>
      <c r="R41" s="409">
        <v>0</v>
      </c>
      <c r="S41" s="409">
        <v>0</v>
      </c>
      <c r="T41" s="350">
        <v>0</v>
      </c>
    </row>
    <row r="42" spans="1:20" x14ac:dyDescent="0.4">
      <c r="A42" s="106" t="s">
        <v>370</v>
      </c>
      <c r="B42" s="327">
        <v>27137770.59</v>
      </c>
      <c r="C42" s="327">
        <v>131305.17000000001</v>
      </c>
      <c r="D42" s="327">
        <v>1696881.13</v>
      </c>
      <c r="E42" s="327">
        <v>3765994.69</v>
      </c>
      <c r="F42" s="328">
        <f>SUM(B42:E42)-0.01</f>
        <v>32731951.57</v>
      </c>
      <c r="G42" s="334">
        <v>6258</v>
      </c>
      <c r="H42" s="298" t="s">
        <v>100</v>
      </c>
      <c r="I42" s="327">
        <f t="shared" si="6"/>
        <v>5230.4173170341965</v>
      </c>
      <c r="J42" s="327"/>
      <c r="K42" s="327"/>
      <c r="L42" s="327"/>
      <c r="M42" s="327"/>
      <c r="N42" s="328">
        <f t="shared" si="9"/>
        <v>0</v>
      </c>
      <c r="O42" s="327"/>
      <c r="P42" s="298"/>
      <c r="Q42" s="327"/>
      <c r="R42" s="409">
        <v>0</v>
      </c>
      <c r="S42" s="409">
        <v>0</v>
      </c>
      <c r="T42" s="350">
        <v>0</v>
      </c>
    </row>
    <row r="43" spans="1:20" x14ac:dyDescent="0.4">
      <c r="A43" s="106" t="s">
        <v>371</v>
      </c>
      <c r="B43" s="327">
        <v>4180043.53</v>
      </c>
      <c r="C43" s="327">
        <v>37012.199999999997</v>
      </c>
      <c r="D43" s="327">
        <v>478315.49</v>
      </c>
      <c r="E43" s="327">
        <v>1061555.55</v>
      </c>
      <c r="F43" s="328">
        <f>SUM(B43:E43)</f>
        <v>5756926.7699999996</v>
      </c>
      <c r="G43" s="334">
        <v>124</v>
      </c>
      <c r="H43" s="298" t="s">
        <v>99</v>
      </c>
      <c r="I43" s="327">
        <f t="shared" si="6"/>
        <v>46426.828790322579</v>
      </c>
      <c r="J43" s="327"/>
      <c r="K43" s="327"/>
      <c r="L43" s="327"/>
      <c r="M43" s="327"/>
      <c r="N43" s="328">
        <f t="shared" si="9"/>
        <v>0</v>
      </c>
      <c r="O43" s="327"/>
      <c r="P43" s="298"/>
      <c r="Q43" s="327"/>
      <c r="R43" s="409">
        <v>0</v>
      </c>
      <c r="S43" s="409">
        <v>0</v>
      </c>
      <c r="T43" s="350">
        <v>0</v>
      </c>
    </row>
    <row r="44" spans="1:20" x14ac:dyDescent="0.4">
      <c r="A44" s="145" t="s">
        <v>372</v>
      </c>
      <c r="B44" s="327">
        <v>39535772.299999997</v>
      </c>
      <c r="C44" s="327">
        <v>191229.67</v>
      </c>
      <c r="D44" s="327">
        <v>2471296.6800000002</v>
      </c>
      <c r="E44" s="327">
        <v>5484703.6799999997</v>
      </c>
      <c r="F44" s="328">
        <f>SUM(B44:E44)</f>
        <v>47683002.329999998</v>
      </c>
      <c r="G44" s="334">
        <v>5</v>
      </c>
      <c r="H44" s="298" t="s">
        <v>99</v>
      </c>
      <c r="I44" s="327">
        <f t="shared" si="6"/>
        <v>9536600.466</v>
      </c>
      <c r="J44" s="327"/>
      <c r="K44" s="327"/>
      <c r="L44" s="327"/>
      <c r="M44" s="327"/>
      <c r="N44" s="328">
        <f t="shared" si="9"/>
        <v>0</v>
      </c>
      <c r="O44" s="327"/>
      <c r="P44" s="298"/>
      <c r="Q44" s="327"/>
      <c r="R44" s="332">
        <v>0</v>
      </c>
      <c r="S44" s="332">
        <v>0</v>
      </c>
      <c r="T44" s="328">
        <v>0</v>
      </c>
    </row>
    <row r="45" spans="1:20" x14ac:dyDescent="0.4">
      <c r="A45" s="106" t="s">
        <v>373</v>
      </c>
      <c r="B45" s="327">
        <v>69313836.780000001</v>
      </c>
      <c r="C45" s="327">
        <v>352497.1</v>
      </c>
      <c r="D45" s="327">
        <v>4555385.58</v>
      </c>
      <c r="E45" s="327">
        <v>10110052.859999999</v>
      </c>
      <c r="F45" s="328">
        <f>SUM(B45:E45)</f>
        <v>84331772.319999993</v>
      </c>
      <c r="G45" s="334">
        <v>20958</v>
      </c>
      <c r="H45" s="298" t="s">
        <v>100</v>
      </c>
      <c r="I45" s="327">
        <f t="shared" si="6"/>
        <v>4023.8463746540697</v>
      </c>
      <c r="J45" s="327"/>
      <c r="K45" s="327"/>
      <c r="L45" s="327"/>
      <c r="M45" s="327"/>
      <c r="N45" s="328">
        <f t="shared" si="9"/>
        <v>0</v>
      </c>
      <c r="O45" s="327"/>
      <c r="P45" s="298"/>
      <c r="Q45" s="327"/>
      <c r="R45" s="332">
        <v>0</v>
      </c>
      <c r="S45" s="332">
        <v>0</v>
      </c>
      <c r="T45" s="328">
        <v>0</v>
      </c>
    </row>
    <row r="46" spans="1:20" x14ac:dyDescent="0.4">
      <c r="A46" s="106" t="s">
        <v>377</v>
      </c>
      <c r="B46" s="327">
        <v>124840718.02</v>
      </c>
      <c r="C46" s="327">
        <v>719975.32</v>
      </c>
      <c r="D46" s="327">
        <v>9304375.0399999991</v>
      </c>
      <c r="E46" s="327">
        <v>20649782.98</v>
      </c>
      <c r="F46" s="328">
        <f>SUM(B46:E46)</f>
        <v>155514851.35999998</v>
      </c>
      <c r="G46" s="334">
        <v>23791</v>
      </c>
      <c r="H46" s="298" t="s">
        <v>100</v>
      </c>
      <c r="I46" s="327">
        <f t="shared" si="6"/>
        <v>6536.7093169686013</v>
      </c>
      <c r="J46" s="327"/>
      <c r="K46" s="327"/>
      <c r="L46" s="327"/>
      <c r="M46" s="327"/>
      <c r="N46" s="328">
        <f t="shared" si="9"/>
        <v>0</v>
      </c>
      <c r="O46" s="327"/>
      <c r="P46" s="298"/>
      <c r="Q46" s="327"/>
      <c r="R46" s="332">
        <v>0</v>
      </c>
      <c r="S46" s="332">
        <v>0</v>
      </c>
      <c r="T46" s="328">
        <v>0</v>
      </c>
    </row>
    <row r="47" spans="1:20" x14ac:dyDescent="0.4">
      <c r="A47" s="72" t="s">
        <v>378</v>
      </c>
      <c r="B47" s="327"/>
      <c r="C47" s="327"/>
      <c r="D47" s="327"/>
      <c r="E47" s="327"/>
      <c r="F47" s="328"/>
      <c r="G47" s="334"/>
      <c r="H47" s="298"/>
      <c r="I47" s="327"/>
      <c r="J47" s="327">
        <f>'ตารางที่ 3ส่ง'!B36</f>
        <v>657908623.61742997</v>
      </c>
      <c r="K47" s="327">
        <f>'ตารางที่ 3ส่ง'!C36</f>
        <v>1611346.605856</v>
      </c>
      <c r="L47" s="327">
        <f>'ตารางที่ 3ส่ง'!D36</f>
        <v>26981616.021485001</v>
      </c>
      <c r="M47" s="327">
        <f>'ตารางที่ 3ส่ง'!E36</f>
        <v>86575124.989877999</v>
      </c>
      <c r="N47" s="328">
        <f t="shared" si="9"/>
        <v>773076711.23464894</v>
      </c>
      <c r="O47" s="492">
        <v>270230</v>
      </c>
      <c r="P47" s="327" t="s">
        <v>100</v>
      </c>
      <c r="Q47" s="327">
        <f>N47/O47</f>
        <v>2860.8100922719495</v>
      </c>
      <c r="R47" s="332">
        <v>0</v>
      </c>
      <c r="S47" s="332">
        <v>0</v>
      </c>
      <c r="T47" s="328">
        <v>0</v>
      </c>
    </row>
    <row r="48" spans="1:20" x14ac:dyDescent="0.4">
      <c r="A48" s="512" t="s">
        <v>376</v>
      </c>
      <c r="B48" s="327"/>
      <c r="C48" s="327"/>
      <c r="D48" s="327"/>
      <c r="E48" s="327"/>
      <c r="F48" s="328"/>
      <c r="G48" s="334"/>
      <c r="H48" s="298"/>
      <c r="I48" s="327"/>
      <c r="J48" s="327">
        <f>'ตารางที่ 3ส่ง'!B37</f>
        <v>108853593.84749001</v>
      </c>
      <c r="K48" s="327">
        <f>'ตารางที่ 3ส่ง'!C37</f>
        <v>266603.69340800005</v>
      </c>
      <c r="L48" s="327">
        <f>'ตารางที่ 3ส่ง'!D37</f>
        <v>4464215.4948549997</v>
      </c>
      <c r="M48" s="327">
        <f>'ตารางที่ 3ส่ง'!E37</f>
        <v>14324198.155554002</v>
      </c>
      <c r="N48" s="328">
        <f t="shared" si="9"/>
        <v>127908611.19130701</v>
      </c>
      <c r="O48" s="492">
        <v>11607</v>
      </c>
      <c r="P48" s="327" t="s">
        <v>100</v>
      </c>
      <c r="Q48" s="327">
        <f>N48/O48</f>
        <v>11019.954440536487</v>
      </c>
      <c r="R48" s="332">
        <v>0</v>
      </c>
      <c r="S48" s="332">
        <v>0</v>
      </c>
      <c r="T48" s="328">
        <v>0</v>
      </c>
    </row>
    <row r="49" spans="1:20" ht="23.4" x14ac:dyDescent="0.45">
      <c r="A49" s="326" t="s">
        <v>103</v>
      </c>
      <c r="B49" s="354"/>
      <c r="C49" s="354"/>
      <c r="D49" s="354"/>
      <c r="E49" s="354"/>
      <c r="F49" s="328"/>
      <c r="G49" s="334"/>
      <c r="H49" s="330"/>
      <c r="I49" s="327"/>
      <c r="J49" s="328"/>
      <c r="K49" s="328"/>
      <c r="L49" s="328"/>
      <c r="M49" s="328"/>
      <c r="N49" s="328"/>
      <c r="O49" s="334"/>
      <c r="P49" s="330"/>
      <c r="Q49" s="327"/>
      <c r="R49" s="332"/>
      <c r="S49" s="332"/>
      <c r="T49" s="328"/>
    </row>
    <row r="50" spans="1:20" x14ac:dyDescent="0.4">
      <c r="A50" s="84" t="s">
        <v>189</v>
      </c>
      <c r="B50" s="327">
        <v>7271732.75</v>
      </c>
      <c r="C50" s="327">
        <v>150.68</v>
      </c>
      <c r="D50" s="327">
        <v>476686.61</v>
      </c>
      <c r="E50" s="327">
        <v>511420.63</v>
      </c>
      <c r="F50" s="328">
        <f>SUM(B50:E50)</f>
        <v>8259990.6699999999</v>
      </c>
      <c r="G50" s="334">
        <v>14861</v>
      </c>
      <c r="H50" s="330" t="s">
        <v>104</v>
      </c>
      <c r="I50" s="327">
        <f t="shared" si="6"/>
        <v>555.81661193728553</v>
      </c>
      <c r="J50" s="81">
        <v>7240249.46</v>
      </c>
      <c r="K50" s="81">
        <v>0</v>
      </c>
      <c r="L50" s="81">
        <v>238211.51</v>
      </c>
      <c r="M50" s="81">
        <v>374138.95</v>
      </c>
      <c r="N50" s="328">
        <f>+J50+K50+L50+M50</f>
        <v>7852599.9199999999</v>
      </c>
      <c r="O50" s="493">
        <v>14929</v>
      </c>
      <c r="P50" s="82" t="s">
        <v>104</v>
      </c>
      <c r="Q50" s="327">
        <f>+N50/O50</f>
        <v>525.99637752026263</v>
      </c>
      <c r="R50" s="531">
        <f t="shared" si="7"/>
        <v>-4.9320969753589319</v>
      </c>
      <c r="S50" s="531">
        <f t="shared" si="7"/>
        <v>0.45757351456833323</v>
      </c>
      <c r="T50" s="531">
        <f t="shared" si="0"/>
        <v>-5.3651211166728512</v>
      </c>
    </row>
    <row r="51" spans="1:20" x14ac:dyDescent="0.4">
      <c r="A51" s="79" t="s">
        <v>188</v>
      </c>
      <c r="B51" s="327">
        <v>7464722.8799999999</v>
      </c>
      <c r="C51" s="327">
        <v>-17614.669999999998</v>
      </c>
      <c r="D51" s="327">
        <v>323314.45</v>
      </c>
      <c r="E51" s="327">
        <v>300738.17</v>
      </c>
      <c r="F51" s="328">
        <f>SUM(B51:E51)+0.01</f>
        <v>8071160.8399999999</v>
      </c>
      <c r="G51" s="334">
        <v>545</v>
      </c>
      <c r="H51" s="330" t="s">
        <v>105</v>
      </c>
      <c r="I51" s="327">
        <f t="shared" si="6"/>
        <v>14809.46943119266</v>
      </c>
      <c r="J51" s="71">
        <v>7895166.21</v>
      </c>
      <c r="K51" s="71">
        <v>16391</v>
      </c>
      <c r="L51" s="71">
        <v>312736.48</v>
      </c>
      <c r="M51" s="71">
        <v>363493.32</v>
      </c>
      <c r="N51" s="328">
        <f t="shared" ref="N51:N83" si="13">+J51+K51+L51+M51</f>
        <v>8587787.0099999998</v>
      </c>
      <c r="O51" s="494">
        <v>545</v>
      </c>
      <c r="P51" s="75" t="s">
        <v>105</v>
      </c>
      <c r="Q51" s="327">
        <f t="shared" ref="Q51:Q83" si="14">+N51/O51</f>
        <v>15757.407357798165</v>
      </c>
      <c r="R51" s="531">
        <f t="shared" si="7"/>
        <v>6.400890531627665</v>
      </c>
      <c r="S51" s="531">
        <f t="shared" si="7"/>
        <v>0</v>
      </c>
      <c r="T51" s="531">
        <f t="shared" si="0"/>
        <v>6.4008905316276739</v>
      </c>
    </row>
    <row r="52" spans="1:20" ht="32.4" x14ac:dyDescent="0.4">
      <c r="A52" s="85" t="s">
        <v>190</v>
      </c>
      <c r="B52" s="327">
        <v>4685486.0999999996</v>
      </c>
      <c r="C52" s="327">
        <v>24027.32</v>
      </c>
      <c r="D52" s="327">
        <v>248047.19</v>
      </c>
      <c r="E52" s="327">
        <v>307884.05</v>
      </c>
      <c r="F52" s="328">
        <f t="shared" ref="F52:F88" si="15">SUM(B52:E52)</f>
        <v>5265444.66</v>
      </c>
      <c r="G52" s="334">
        <v>59763</v>
      </c>
      <c r="H52" s="511" t="s">
        <v>178</v>
      </c>
      <c r="I52" s="327">
        <f t="shared" si="6"/>
        <v>88.105427438381611</v>
      </c>
      <c r="J52" s="86">
        <f>22120438.79*15/100</f>
        <v>3318065.8184999996</v>
      </c>
      <c r="K52" s="86">
        <f>-37123.31*15/100</f>
        <v>-5568.4964999999993</v>
      </c>
      <c r="L52" s="86">
        <f>1489100.86*15/100</f>
        <v>223365.12900000002</v>
      </c>
      <c r="M52" s="86">
        <f>2094412.99*15/100</f>
        <v>314161.9485</v>
      </c>
      <c r="N52" s="328">
        <f t="shared" si="13"/>
        <v>3850024.3994999998</v>
      </c>
      <c r="O52" s="495">
        <v>60865</v>
      </c>
      <c r="P52" s="89" t="s">
        <v>104</v>
      </c>
      <c r="Q52" s="327">
        <f t="shared" si="14"/>
        <v>63.255144984802428</v>
      </c>
      <c r="R52" s="531">
        <f t="shared" si="7"/>
        <v>-26.881305414764352</v>
      </c>
      <c r="S52" s="531">
        <f t="shared" si="7"/>
        <v>1.8439502702340913</v>
      </c>
      <c r="T52" s="531">
        <f t="shared" si="0"/>
        <v>-28.20516644216811</v>
      </c>
    </row>
    <row r="53" spans="1:20" x14ac:dyDescent="0.4">
      <c r="A53" s="79" t="s">
        <v>191</v>
      </c>
      <c r="B53" s="327">
        <v>5856857.6299999999</v>
      </c>
      <c r="C53" s="327">
        <v>30034.16</v>
      </c>
      <c r="D53" s="327">
        <v>310058.99</v>
      </c>
      <c r="E53" s="327">
        <v>384855.06</v>
      </c>
      <c r="F53" s="328">
        <f t="shared" si="15"/>
        <v>6581805.8399999999</v>
      </c>
      <c r="G53" s="334">
        <v>188037</v>
      </c>
      <c r="H53" s="356" t="s">
        <v>174</v>
      </c>
      <c r="I53" s="327">
        <f t="shared" si="6"/>
        <v>35.002716699372996</v>
      </c>
      <c r="J53" s="86">
        <f>22120438.79*15/100</f>
        <v>3318065.8184999996</v>
      </c>
      <c r="K53" s="86">
        <f>-37123.31*15/100</f>
        <v>-5568.4964999999993</v>
      </c>
      <c r="L53" s="86">
        <f>1489100.86*15/100</f>
        <v>223365.12900000002</v>
      </c>
      <c r="M53" s="86">
        <f>2094412.99*15/100</f>
        <v>314161.9485</v>
      </c>
      <c r="N53" s="328">
        <f t="shared" si="13"/>
        <v>3850024.3994999998</v>
      </c>
      <c r="O53" s="494">
        <v>205636</v>
      </c>
      <c r="P53" s="75" t="s">
        <v>174</v>
      </c>
      <c r="Q53" s="327">
        <f t="shared" si="14"/>
        <v>18.722521345970549</v>
      </c>
      <c r="R53" s="531">
        <f t="shared" si="7"/>
        <v>-41.505044465122054</v>
      </c>
      <c r="S53" s="531">
        <f t="shared" si="7"/>
        <v>9.3593282173189323</v>
      </c>
      <c r="T53" s="531">
        <f t="shared" si="0"/>
        <v>-46.511233665740221</v>
      </c>
    </row>
    <row r="54" spans="1:20" x14ac:dyDescent="0.4">
      <c r="A54" s="79" t="s">
        <v>192</v>
      </c>
      <c r="B54" s="327">
        <v>7028229.1600000001</v>
      </c>
      <c r="C54" s="327">
        <v>36040.99</v>
      </c>
      <c r="D54" s="327">
        <v>372070.79</v>
      </c>
      <c r="E54" s="327">
        <v>461826.06</v>
      </c>
      <c r="F54" s="328">
        <f t="shared" si="15"/>
        <v>7898167</v>
      </c>
      <c r="G54" s="334">
        <v>3065</v>
      </c>
      <c r="H54" s="330" t="s">
        <v>104</v>
      </c>
      <c r="I54" s="327">
        <f t="shared" si="6"/>
        <v>2576.889722675367</v>
      </c>
      <c r="J54" s="86">
        <f>22120438.79*20/100</f>
        <v>4424087.7579999994</v>
      </c>
      <c r="K54" s="86">
        <f>-37123.31*20/100</f>
        <v>-7424.6619999999994</v>
      </c>
      <c r="L54" s="86">
        <f>1489100.86*20/100</f>
        <v>297820.17200000002</v>
      </c>
      <c r="M54" s="86">
        <f>2094412.99*20/100</f>
        <v>418882.598</v>
      </c>
      <c r="N54" s="328">
        <f t="shared" si="13"/>
        <v>5133365.8660000004</v>
      </c>
      <c r="O54" s="78">
        <v>2361</v>
      </c>
      <c r="P54" s="75" t="s">
        <v>104</v>
      </c>
      <c r="Q54" s="327">
        <f t="shared" si="14"/>
        <v>2174.2337424819993</v>
      </c>
      <c r="R54" s="531">
        <f t="shared" si="7"/>
        <v>-35.005604895414336</v>
      </c>
      <c r="S54" s="531">
        <f t="shared" si="7"/>
        <v>-22.969004893964112</v>
      </c>
      <c r="T54" s="531">
        <f t="shared" si="0"/>
        <v>-15.625658197562446</v>
      </c>
    </row>
    <row r="55" spans="1:20" x14ac:dyDescent="0.4">
      <c r="A55" s="79" t="s">
        <v>193</v>
      </c>
      <c r="B55" s="327">
        <v>21529803.579999998</v>
      </c>
      <c r="C55" s="327">
        <v>127.5</v>
      </c>
      <c r="D55" s="327">
        <v>191903.72</v>
      </c>
      <c r="E55" s="327">
        <v>435650.62</v>
      </c>
      <c r="F55" s="328">
        <f t="shared" si="15"/>
        <v>22157485.419999998</v>
      </c>
      <c r="G55" s="334">
        <v>811</v>
      </c>
      <c r="H55" s="330" t="s">
        <v>105</v>
      </c>
      <c r="I55" s="327">
        <f t="shared" si="6"/>
        <v>27321.190406905054</v>
      </c>
      <c r="J55" s="86">
        <f>22120438.79*30/100</f>
        <v>6636131.6369999992</v>
      </c>
      <c r="K55" s="86">
        <f>-37123.31*30/100</f>
        <v>-11136.992999999999</v>
      </c>
      <c r="L55" s="86">
        <f>1489100.86*30/100</f>
        <v>446730.25800000003</v>
      </c>
      <c r="M55" s="86">
        <f>2094412.99*30/100</f>
        <v>628323.897</v>
      </c>
      <c r="N55" s="328">
        <f t="shared" si="13"/>
        <v>7700048.7989999996</v>
      </c>
      <c r="O55" s="78">
        <v>474</v>
      </c>
      <c r="P55" s="75" t="s">
        <v>105</v>
      </c>
      <c r="Q55" s="327">
        <f t="shared" si="14"/>
        <v>16244.828689873417</v>
      </c>
      <c r="R55" s="531">
        <f t="shared" si="7"/>
        <v>-65.248543988436026</v>
      </c>
      <c r="S55" s="531">
        <f t="shared" si="7"/>
        <v>-41.553637484586929</v>
      </c>
      <c r="T55" s="531">
        <f t="shared" si="0"/>
        <v>-40.541285178526628</v>
      </c>
    </row>
    <row r="56" spans="1:20" x14ac:dyDescent="0.4">
      <c r="A56" s="79" t="s">
        <v>194</v>
      </c>
      <c r="B56" s="327">
        <v>0</v>
      </c>
      <c r="C56" s="327">
        <v>0</v>
      </c>
      <c r="D56" s="327">
        <v>0</v>
      </c>
      <c r="E56" s="327">
        <v>0</v>
      </c>
      <c r="F56" s="328">
        <f t="shared" si="15"/>
        <v>0</v>
      </c>
      <c r="G56" s="334">
        <v>0</v>
      </c>
      <c r="H56" s="330"/>
      <c r="I56" s="327"/>
      <c r="J56" s="86">
        <f>22120438.79*15/100</f>
        <v>3318065.8184999996</v>
      </c>
      <c r="K56" s="86">
        <f>-37123.31*15/100</f>
        <v>-5568.4964999999993</v>
      </c>
      <c r="L56" s="86">
        <f>1489100.86*15/100</f>
        <v>223365.12900000002</v>
      </c>
      <c r="M56" s="86">
        <f>2094412.99*15/100</f>
        <v>314161.9485</v>
      </c>
      <c r="N56" s="328">
        <f t="shared" si="13"/>
        <v>3850024.3994999998</v>
      </c>
      <c r="O56" s="78">
        <v>150</v>
      </c>
      <c r="P56" s="75" t="s">
        <v>100</v>
      </c>
      <c r="Q56" s="327">
        <f t="shared" si="14"/>
        <v>25666.82933</v>
      </c>
      <c r="R56" s="328">
        <v>0</v>
      </c>
      <c r="S56" s="328">
        <v>0</v>
      </c>
      <c r="T56" s="328">
        <v>0</v>
      </c>
    </row>
    <row r="57" spans="1:20" x14ac:dyDescent="0.4">
      <c r="A57" s="79" t="s">
        <v>195</v>
      </c>
      <c r="B57" s="327">
        <v>0</v>
      </c>
      <c r="C57" s="327">
        <v>0</v>
      </c>
      <c r="D57" s="327">
        <v>0</v>
      </c>
      <c r="E57" s="327">
        <v>0</v>
      </c>
      <c r="F57" s="328">
        <f t="shared" si="15"/>
        <v>0</v>
      </c>
      <c r="G57" s="334">
        <v>0</v>
      </c>
      <c r="H57" s="330"/>
      <c r="I57" s="327"/>
      <c r="J57" s="86">
        <f>22120438.79*5/100</f>
        <v>1106021.9394999999</v>
      </c>
      <c r="K57" s="86">
        <f>-37123.31*5/100</f>
        <v>-1856.1654999999998</v>
      </c>
      <c r="L57" s="86">
        <f>1489100.86*5/100</f>
        <v>74455.043000000005</v>
      </c>
      <c r="M57" s="86">
        <f>2094412.99*5/100</f>
        <v>104720.6495</v>
      </c>
      <c r="N57" s="328">
        <f t="shared" si="13"/>
        <v>1283341.4665000001</v>
      </c>
      <c r="O57" s="78">
        <v>4</v>
      </c>
      <c r="P57" s="75" t="s">
        <v>104</v>
      </c>
      <c r="Q57" s="327">
        <f t="shared" si="14"/>
        <v>320835.36662500002</v>
      </c>
      <c r="R57" s="328">
        <v>0</v>
      </c>
      <c r="S57" s="328">
        <v>0</v>
      </c>
      <c r="T57" s="328">
        <v>0</v>
      </c>
    </row>
    <row r="58" spans="1:20" s="291" customFormat="1" x14ac:dyDescent="0.4">
      <c r="A58" s="79" t="s">
        <v>196</v>
      </c>
      <c r="B58" s="327">
        <v>15940336.6</v>
      </c>
      <c r="C58" s="327">
        <v>52412.97</v>
      </c>
      <c r="D58" s="327">
        <v>882073.07</v>
      </c>
      <c r="E58" s="327">
        <v>4986290.46</v>
      </c>
      <c r="F58" s="328">
        <f t="shared" si="15"/>
        <v>21861113.100000001</v>
      </c>
      <c r="G58" s="334">
        <v>1</v>
      </c>
      <c r="H58" s="330" t="s">
        <v>106</v>
      </c>
      <c r="I58" s="327">
        <f t="shared" si="6"/>
        <v>21861113.100000001</v>
      </c>
      <c r="J58" s="71">
        <v>12378603.279999999</v>
      </c>
      <c r="K58" s="71">
        <v>0</v>
      </c>
      <c r="L58" s="71">
        <v>825542.51</v>
      </c>
      <c r="M58" s="71">
        <v>1590354.15</v>
      </c>
      <c r="N58" s="328">
        <f t="shared" si="13"/>
        <v>14794499.939999999</v>
      </c>
      <c r="O58" s="78">
        <v>3</v>
      </c>
      <c r="P58" s="75" t="s">
        <v>104</v>
      </c>
      <c r="Q58" s="327">
        <f t="shared" si="14"/>
        <v>4931499.9799999995</v>
      </c>
      <c r="R58" s="531">
        <f t="shared" si="7"/>
        <v>-32.325038197620422</v>
      </c>
      <c r="S58" s="531">
        <f t="shared" si="7"/>
        <v>200</v>
      </c>
      <c r="T58" s="531">
        <f t="shared" si="0"/>
        <v>-77.441679399206805</v>
      </c>
    </row>
    <row r="59" spans="1:20" x14ac:dyDescent="0.4">
      <c r="A59" s="90" t="s">
        <v>305</v>
      </c>
      <c r="B59" s="327">
        <v>17283501.91</v>
      </c>
      <c r="C59" s="327">
        <v>0</v>
      </c>
      <c r="D59" s="327">
        <v>303594.06</v>
      </c>
      <c r="E59" s="327">
        <v>241171.88</v>
      </c>
      <c r="F59" s="328">
        <f t="shared" si="15"/>
        <v>17828267.849999998</v>
      </c>
      <c r="G59" s="334">
        <v>174</v>
      </c>
      <c r="H59" s="330" t="s">
        <v>102</v>
      </c>
      <c r="I59" s="327">
        <f t="shared" si="6"/>
        <v>102461.3094827586</v>
      </c>
      <c r="J59" s="71">
        <v>20291310.719999999</v>
      </c>
      <c r="K59" s="71">
        <v>0</v>
      </c>
      <c r="L59" s="71">
        <v>139771.35</v>
      </c>
      <c r="M59" s="71">
        <v>435753.06</v>
      </c>
      <c r="N59" s="328">
        <f t="shared" si="13"/>
        <v>20866835.129999999</v>
      </c>
      <c r="O59" s="78">
        <v>30</v>
      </c>
      <c r="P59" s="75" t="s">
        <v>102</v>
      </c>
      <c r="Q59" s="327">
        <f t="shared" si="14"/>
        <v>695561.17099999997</v>
      </c>
      <c r="R59" s="531">
        <f t="shared" si="7"/>
        <v>17.043536172808857</v>
      </c>
      <c r="S59" s="531">
        <f t="shared" si="7"/>
        <v>-82.758620689655174</v>
      </c>
      <c r="T59" s="531">
        <f t="shared" si="0"/>
        <v>578.85250980229137</v>
      </c>
    </row>
    <row r="60" spans="1:20" s="291" customFormat="1" x14ac:dyDescent="0.4">
      <c r="A60" s="79" t="s">
        <v>306</v>
      </c>
      <c r="B60" s="327">
        <v>13921994.66</v>
      </c>
      <c r="C60" s="327">
        <v>0</v>
      </c>
      <c r="D60" s="327">
        <v>244547.36</v>
      </c>
      <c r="E60" s="327">
        <v>194265.81</v>
      </c>
      <c r="F60" s="328">
        <f t="shared" si="15"/>
        <v>14360807.83</v>
      </c>
      <c r="G60" s="334">
        <v>550</v>
      </c>
      <c r="H60" s="330" t="s">
        <v>102</v>
      </c>
      <c r="I60" s="327">
        <f t="shared" si="6"/>
        <v>26110.559690909093</v>
      </c>
      <c r="J60" s="71">
        <v>5996744.75</v>
      </c>
      <c r="K60" s="71">
        <v>0</v>
      </c>
      <c r="L60" s="71">
        <v>41307</v>
      </c>
      <c r="M60" s="71">
        <v>128779.26</v>
      </c>
      <c r="N60" s="328">
        <f t="shared" si="13"/>
        <v>6166831.0099999998</v>
      </c>
      <c r="O60" s="78">
        <v>800</v>
      </c>
      <c r="P60" s="75" t="s">
        <v>100</v>
      </c>
      <c r="Q60" s="327">
        <f t="shared" si="14"/>
        <v>7708.5387624999994</v>
      </c>
      <c r="R60" s="531">
        <f t="shared" si="7"/>
        <v>-57.057910091120547</v>
      </c>
      <c r="S60" s="531">
        <f t="shared" si="7"/>
        <v>45.454545454545453</v>
      </c>
      <c r="T60" s="531">
        <f t="shared" si="0"/>
        <v>-70.477313187645379</v>
      </c>
    </row>
    <row r="61" spans="1:20" s="291" customFormat="1" x14ac:dyDescent="0.4">
      <c r="A61" s="90" t="s">
        <v>307</v>
      </c>
      <c r="B61" s="327">
        <v>67954009.519999996</v>
      </c>
      <c r="C61" s="327">
        <v>3870813.04</v>
      </c>
      <c r="D61" s="327">
        <v>1193648.93</v>
      </c>
      <c r="E61" s="327">
        <v>948221.95</v>
      </c>
      <c r="F61" s="328">
        <f t="shared" si="15"/>
        <v>73966693.440000013</v>
      </c>
      <c r="G61" s="334">
        <v>59</v>
      </c>
      <c r="H61" s="330" t="s">
        <v>102</v>
      </c>
      <c r="I61" s="327">
        <f t="shared" si="6"/>
        <v>1253672.7701694916</v>
      </c>
      <c r="J61" s="71">
        <v>201588244.94</v>
      </c>
      <c r="K61" s="71">
        <f>257842.59-50000</f>
        <v>207842.59</v>
      </c>
      <c r="L61" s="71">
        <v>1388587.55</v>
      </c>
      <c r="M61" s="71">
        <v>4329079.42</v>
      </c>
      <c r="N61" s="328">
        <f t="shared" si="13"/>
        <v>207513754.5</v>
      </c>
      <c r="O61" s="78">
        <v>105</v>
      </c>
      <c r="P61" s="75" t="s">
        <v>102</v>
      </c>
      <c r="Q61" s="327">
        <f t="shared" si="14"/>
        <v>1976321.4714285715</v>
      </c>
      <c r="R61" s="531">
        <f t="shared" si="7"/>
        <v>180.55026505724516</v>
      </c>
      <c r="S61" s="531">
        <f t="shared" si="7"/>
        <v>77.966101694915253</v>
      </c>
      <c r="T61" s="531">
        <f t="shared" si="0"/>
        <v>57.642529889309202</v>
      </c>
    </row>
    <row r="62" spans="1:20" s="291" customFormat="1" x14ac:dyDescent="0.4">
      <c r="A62" s="77" t="s">
        <v>308</v>
      </c>
      <c r="B62" s="327">
        <v>0</v>
      </c>
      <c r="C62" s="327">
        <v>0</v>
      </c>
      <c r="D62" s="327">
        <v>0</v>
      </c>
      <c r="E62" s="327">
        <v>0</v>
      </c>
      <c r="F62" s="328">
        <f t="shared" si="15"/>
        <v>0</v>
      </c>
      <c r="G62" s="334"/>
      <c r="H62" s="330"/>
      <c r="I62" s="327"/>
      <c r="J62" s="71">
        <v>7171768.25</v>
      </c>
      <c r="K62" s="71">
        <v>-352.03</v>
      </c>
      <c r="L62" s="71">
        <v>337808.19</v>
      </c>
      <c r="M62" s="71">
        <v>472049.6</v>
      </c>
      <c r="N62" s="328">
        <f t="shared" si="13"/>
        <v>7981274.0099999998</v>
      </c>
      <c r="O62" s="78">
        <v>35</v>
      </c>
      <c r="P62" s="75" t="s">
        <v>101</v>
      </c>
      <c r="Q62" s="327">
        <f t="shared" si="14"/>
        <v>228036.40028571428</v>
      </c>
      <c r="R62" s="328">
        <v>0</v>
      </c>
      <c r="S62" s="328">
        <v>0</v>
      </c>
      <c r="T62" s="328">
        <v>0</v>
      </c>
    </row>
    <row r="63" spans="1:20" s="291" customFormat="1" x14ac:dyDescent="0.4">
      <c r="A63" s="79" t="s">
        <v>309</v>
      </c>
      <c r="B63" s="327">
        <v>7854148.7000000002</v>
      </c>
      <c r="C63" s="327">
        <v>66124.539999999994</v>
      </c>
      <c r="D63" s="327">
        <v>325474.38</v>
      </c>
      <c r="E63" s="327">
        <v>537817.17000000004</v>
      </c>
      <c r="F63" s="328">
        <f t="shared" si="15"/>
        <v>8783564.790000001</v>
      </c>
      <c r="G63" s="334">
        <v>27</v>
      </c>
      <c r="H63" s="330" t="s">
        <v>101</v>
      </c>
      <c r="I63" s="327">
        <f t="shared" si="6"/>
        <v>325317.21444444446</v>
      </c>
      <c r="J63" s="71">
        <v>4482355.16</v>
      </c>
      <c r="K63" s="71">
        <v>-112.65</v>
      </c>
      <c r="L63" s="71">
        <v>135123.28</v>
      </c>
      <c r="M63" s="71">
        <v>590062</v>
      </c>
      <c r="N63" s="328">
        <f t="shared" si="13"/>
        <v>5207427.79</v>
      </c>
      <c r="O63" s="78">
        <v>25</v>
      </c>
      <c r="P63" s="75" t="s">
        <v>101</v>
      </c>
      <c r="Q63" s="327">
        <f t="shared" si="14"/>
        <v>208297.1116</v>
      </c>
      <c r="R63" s="531">
        <f t="shared" si="7"/>
        <v>-40.713959371841788</v>
      </c>
      <c r="S63" s="531">
        <f t="shared" si="7"/>
        <v>-7.4074074074074074</v>
      </c>
      <c r="T63" s="531">
        <f t="shared" si="0"/>
        <v>-35.971076121589128</v>
      </c>
    </row>
    <row r="64" spans="1:20" s="291" customFormat="1" x14ac:dyDescent="0.4">
      <c r="A64" s="79" t="s">
        <v>310</v>
      </c>
      <c r="B64" s="327">
        <v>11678463.869999999</v>
      </c>
      <c r="C64" s="327">
        <v>159063.06</v>
      </c>
      <c r="D64" s="327">
        <v>491201.48</v>
      </c>
      <c r="E64" s="327">
        <v>460419.65</v>
      </c>
      <c r="F64" s="328">
        <f t="shared" si="15"/>
        <v>12789148.060000001</v>
      </c>
      <c r="G64" s="334">
        <v>464</v>
      </c>
      <c r="H64" s="330" t="s">
        <v>100</v>
      </c>
      <c r="I64" s="327">
        <f t="shared" si="6"/>
        <v>27562.819094827588</v>
      </c>
      <c r="J64" s="71">
        <v>7470591.9299999997</v>
      </c>
      <c r="K64" s="71">
        <v>-211.22</v>
      </c>
      <c r="L64" s="71">
        <v>320917.78000000003</v>
      </c>
      <c r="M64" s="71">
        <v>188819.84</v>
      </c>
      <c r="N64" s="328">
        <f t="shared" si="13"/>
        <v>7980118.3300000001</v>
      </c>
      <c r="O64" s="78">
        <v>218</v>
      </c>
      <c r="P64" s="75" t="s">
        <v>100</v>
      </c>
      <c r="Q64" s="327">
        <f t="shared" si="14"/>
        <v>36606.047385321101</v>
      </c>
      <c r="R64" s="531">
        <f t="shared" si="7"/>
        <v>-37.602424394795854</v>
      </c>
      <c r="S64" s="531">
        <f t="shared" si="7"/>
        <v>-53.017241379310342</v>
      </c>
      <c r="T64" s="531">
        <f t="shared" si="0"/>
        <v>32.809518719333596</v>
      </c>
    </row>
    <row r="65" spans="1:20" x14ac:dyDescent="0.4">
      <c r="A65" s="79" t="s">
        <v>311</v>
      </c>
      <c r="B65" s="327">
        <v>934277.11</v>
      </c>
      <c r="C65" s="327">
        <v>12725.05</v>
      </c>
      <c r="D65" s="327">
        <v>39296.120000000003</v>
      </c>
      <c r="E65" s="327">
        <v>36833.57</v>
      </c>
      <c r="F65" s="328">
        <f t="shared" si="15"/>
        <v>1023131.85</v>
      </c>
      <c r="G65" s="334">
        <v>4</v>
      </c>
      <c r="H65" s="330" t="s">
        <v>101</v>
      </c>
      <c r="I65" s="327">
        <f t="shared" si="6"/>
        <v>255782.96249999999</v>
      </c>
      <c r="J65" s="71">
        <v>3287060.45</v>
      </c>
      <c r="K65" s="71">
        <v>-281.62</v>
      </c>
      <c r="L65" s="71">
        <v>253356.14</v>
      </c>
      <c r="M65" s="71">
        <v>354037.2</v>
      </c>
      <c r="N65" s="328">
        <f t="shared" si="13"/>
        <v>3894172.1700000004</v>
      </c>
      <c r="O65" s="78">
        <v>80</v>
      </c>
      <c r="P65" s="75" t="s">
        <v>100</v>
      </c>
      <c r="Q65" s="327">
        <f t="shared" si="14"/>
        <v>48677.152125000008</v>
      </c>
      <c r="R65" s="531">
        <f t="shared" si="7"/>
        <v>280.61293566415708</v>
      </c>
      <c r="S65" s="531">
        <f t="shared" si="7"/>
        <v>1900</v>
      </c>
      <c r="T65" s="531">
        <f t="shared" si="0"/>
        <v>-80.969353216792157</v>
      </c>
    </row>
    <row r="66" spans="1:20" s="291" customFormat="1" x14ac:dyDescent="0.4">
      <c r="A66" s="79" t="s">
        <v>312</v>
      </c>
      <c r="B66" s="327">
        <v>3269969.88</v>
      </c>
      <c r="C66" s="327">
        <v>44537.66</v>
      </c>
      <c r="D66" s="327">
        <v>137536.41</v>
      </c>
      <c r="E66" s="327">
        <v>128917.5</v>
      </c>
      <c r="F66" s="328">
        <f t="shared" si="15"/>
        <v>3580961.45</v>
      </c>
      <c r="G66" s="334">
        <v>20</v>
      </c>
      <c r="H66" s="330" t="s">
        <v>102</v>
      </c>
      <c r="I66" s="327">
        <f t="shared" si="6"/>
        <v>179048.07250000001</v>
      </c>
      <c r="J66" s="71">
        <v>2390589.42</v>
      </c>
      <c r="K66" s="71">
        <v>-70.41</v>
      </c>
      <c r="L66" s="71">
        <v>168904.09</v>
      </c>
      <c r="M66" s="71">
        <v>236024.8</v>
      </c>
      <c r="N66" s="328">
        <f t="shared" si="13"/>
        <v>2795447.8999999994</v>
      </c>
      <c r="O66" s="78">
        <v>64</v>
      </c>
      <c r="P66" s="75" t="s">
        <v>100</v>
      </c>
      <c r="Q66" s="327">
        <f t="shared" si="14"/>
        <v>43678.873437499991</v>
      </c>
      <c r="R66" s="531">
        <f t="shared" si="7"/>
        <v>-21.935828155871398</v>
      </c>
      <c r="S66" s="531">
        <f t="shared" si="7"/>
        <v>220</v>
      </c>
      <c r="T66" s="531">
        <f t="shared" si="0"/>
        <v>-75.60494629870982</v>
      </c>
    </row>
    <row r="67" spans="1:20" s="291" customFormat="1" x14ac:dyDescent="0.4">
      <c r="A67" s="79" t="s">
        <v>334</v>
      </c>
      <c r="B67" s="327"/>
      <c r="C67" s="327"/>
      <c r="D67" s="327"/>
      <c r="E67" s="327"/>
      <c r="F67" s="328">
        <f t="shared" si="15"/>
        <v>0</v>
      </c>
      <c r="G67" s="334"/>
      <c r="H67" s="330"/>
      <c r="I67" s="327"/>
      <c r="J67" s="71">
        <v>4482355.16</v>
      </c>
      <c r="K67" s="71">
        <v>-98.57</v>
      </c>
      <c r="L67" s="71">
        <v>168904.09</v>
      </c>
      <c r="M67" s="71">
        <v>236024.8</v>
      </c>
      <c r="N67" s="328">
        <f t="shared" si="13"/>
        <v>4887185.4799999995</v>
      </c>
      <c r="O67" s="78">
        <v>130</v>
      </c>
      <c r="P67" s="75" t="s">
        <v>100</v>
      </c>
      <c r="Q67" s="327">
        <f t="shared" si="14"/>
        <v>37593.734461538457</v>
      </c>
      <c r="R67" s="328">
        <v>0</v>
      </c>
      <c r="S67" s="328">
        <v>0</v>
      </c>
      <c r="T67" s="328">
        <v>0</v>
      </c>
    </row>
    <row r="68" spans="1:20" ht="42" x14ac:dyDescent="0.4">
      <c r="A68" s="305" t="s">
        <v>314</v>
      </c>
      <c r="B68" s="357">
        <v>5713429.9699999997</v>
      </c>
      <c r="C68" s="327">
        <v>10289.459999999999</v>
      </c>
      <c r="D68" s="327">
        <v>376318.93</v>
      </c>
      <c r="E68" s="327">
        <v>460720.79</v>
      </c>
      <c r="F68" s="328">
        <f t="shared" si="15"/>
        <v>6560759.1499999994</v>
      </c>
      <c r="G68" s="334">
        <v>218266</v>
      </c>
      <c r="H68" s="356" t="s">
        <v>109</v>
      </c>
      <c r="I68" s="327">
        <f t="shared" si="6"/>
        <v>30.058548514198268</v>
      </c>
      <c r="J68" s="306">
        <v>5685029.7199999997</v>
      </c>
      <c r="K68" s="306">
        <v>7111.91</v>
      </c>
      <c r="L68" s="306">
        <v>325487.14</v>
      </c>
      <c r="M68" s="306">
        <v>484627.86</v>
      </c>
      <c r="N68" s="328">
        <f t="shared" si="13"/>
        <v>6502256.6299999999</v>
      </c>
      <c r="O68" s="308">
        <v>343410</v>
      </c>
      <c r="P68" s="309" t="s">
        <v>109</v>
      </c>
      <c r="Q68" s="327">
        <f t="shared" si="14"/>
        <v>18.934383477475905</v>
      </c>
      <c r="R68" s="531">
        <f t="shared" si="7"/>
        <v>-0.89170351574328954</v>
      </c>
      <c r="S68" s="531">
        <f t="shared" si="7"/>
        <v>57.335544702335682</v>
      </c>
      <c r="T68" s="531">
        <f t="shared" si="0"/>
        <v>-37.008324042885242</v>
      </c>
    </row>
    <row r="69" spans="1:20" s="291" customFormat="1" ht="31.2" x14ac:dyDescent="0.4">
      <c r="A69" s="305" t="s">
        <v>315</v>
      </c>
      <c r="B69" s="327">
        <v>5713429.9699999997</v>
      </c>
      <c r="C69" s="327">
        <v>10289.459999999999</v>
      </c>
      <c r="D69" s="327">
        <v>376318.93</v>
      </c>
      <c r="E69" s="327">
        <v>460720.79</v>
      </c>
      <c r="F69" s="328">
        <f t="shared" si="15"/>
        <v>6560759.1499999994</v>
      </c>
      <c r="G69" s="334">
        <v>1774</v>
      </c>
      <c r="H69" s="355" t="s">
        <v>185</v>
      </c>
      <c r="I69" s="327">
        <f t="shared" si="6"/>
        <v>3698.2858793686582</v>
      </c>
      <c r="J69" s="306">
        <v>5685029.7199999997</v>
      </c>
      <c r="K69" s="306">
        <v>7111.91</v>
      </c>
      <c r="L69" s="306">
        <v>325487.14</v>
      </c>
      <c r="M69" s="306">
        <v>484627.86</v>
      </c>
      <c r="N69" s="328">
        <f t="shared" si="13"/>
        <v>6502256.6299999999</v>
      </c>
      <c r="O69" s="308">
        <v>1153</v>
      </c>
      <c r="P69" s="309" t="s">
        <v>175</v>
      </c>
      <c r="Q69" s="327">
        <f t="shared" si="14"/>
        <v>5639.4246574154377</v>
      </c>
      <c r="R69" s="531">
        <f t="shared" si="7"/>
        <v>-0.89170351574328954</v>
      </c>
      <c r="S69" s="531">
        <f t="shared" si="7"/>
        <v>-35.005636978579481</v>
      </c>
      <c r="T69" s="531">
        <f t="shared" si="0"/>
        <v>52.487526420703716</v>
      </c>
    </row>
    <row r="70" spans="1:20" s="291" customFormat="1" ht="46.8" x14ac:dyDescent="0.4">
      <c r="A70" s="305" t="s">
        <v>316</v>
      </c>
      <c r="B70" s="327">
        <v>4897225.7</v>
      </c>
      <c r="C70" s="327">
        <v>8819.5300000000007</v>
      </c>
      <c r="D70" s="327">
        <v>322559.09999999998</v>
      </c>
      <c r="E70" s="327">
        <v>394903.54</v>
      </c>
      <c r="F70" s="328">
        <f t="shared" si="15"/>
        <v>5623507.8700000001</v>
      </c>
      <c r="G70" s="334">
        <v>2331869600</v>
      </c>
      <c r="H70" s="356" t="s">
        <v>187</v>
      </c>
      <c r="I70" s="327">
        <f t="shared" si="6"/>
        <v>2.4115876247968585E-3</v>
      </c>
      <c r="J70" s="306">
        <v>4872882.62</v>
      </c>
      <c r="K70" s="306">
        <v>6095.93</v>
      </c>
      <c r="L70" s="306">
        <v>278988.96999999997</v>
      </c>
      <c r="M70" s="306">
        <v>415395.31</v>
      </c>
      <c r="N70" s="328">
        <f t="shared" si="13"/>
        <v>5573362.8299999991</v>
      </c>
      <c r="O70" s="308">
        <v>2362351797.1399999</v>
      </c>
      <c r="P70" s="309" t="s">
        <v>176</v>
      </c>
      <c r="Q70" s="327">
        <f t="shared" si="14"/>
        <v>2.3592433763453165E-3</v>
      </c>
      <c r="R70" s="531">
        <f t="shared" si="7"/>
        <v>-0.89170391789637471</v>
      </c>
      <c r="S70" s="531">
        <f t="shared" si="7"/>
        <v>1.307199902601752</v>
      </c>
      <c r="T70" s="531">
        <f t="shared" si="0"/>
        <v>-2.1705306460075784</v>
      </c>
    </row>
    <row r="71" spans="1:20" x14ac:dyDescent="0.4">
      <c r="A71" s="79" t="s">
        <v>317</v>
      </c>
      <c r="B71" s="327">
        <v>8000500.9400000004</v>
      </c>
      <c r="C71" s="327">
        <v>154635.43</v>
      </c>
      <c r="D71" s="327">
        <v>359558.82</v>
      </c>
      <c r="E71" s="327">
        <v>462022.91</v>
      </c>
      <c r="F71" s="328">
        <f t="shared" si="15"/>
        <v>8976718.0999999996</v>
      </c>
      <c r="G71" s="334">
        <v>2499</v>
      </c>
      <c r="H71" s="355" t="s">
        <v>110</v>
      </c>
      <c r="I71" s="327">
        <f t="shared" si="6"/>
        <v>3592.124089635854</v>
      </c>
      <c r="J71" s="71">
        <v>7177581.8899999997</v>
      </c>
      <c r="K71" s="71">
        <v>6928.2</v>
      </c>
      <c r="L71" s="71">
        <v>367582.03</v>
      </c>
      <c r="M71" s="71">
        <v>481208.39</v>
      </c>
      <c r="N71" s="328">
        <f t="shared" si="13"/>
        <v>8033300.5099999998</v>
      </c>
      <c r="O71" s="78">
        <v>2458</v>
      </c>
      <c r="P71" s="75" t="s">
        <v>100</v>
      </c>
      <c r="Q71" s="327">
        <f t="shared" si="14"/>
        <v>3268.2264076484948</v>
      </c>
      <c r="R71" s="531">
        <f t="shared" si="7"/>
        <v>-10.509604729594884</v>
      </c>
      <c r="S71" s="531">
        <f t="shared" si="7"/>
        <v>-1.6406562625050021</v>
      </c>
      <c r="T71" s="531">
        <f t="shared" si="0"/>
        <v>-9.0168845481113049</v>
      </c>
    </row>
    <row r="72" spans="1:20" s="291" customFormat="1" x14ac:dyDescent="0.4">
      <c r="A72" s="85" t="s">
        <v>318</v>
      </c>
      <c r="B72" s="327">
        <v>13334168.23</v>
      </c>
      <c r="C72" s="327">
        <v>137818.92000000001</v>
      </c>
      <c r="D72" s="327">
        <v>599264.69999999995</v>
      </c>
      <c r="E72" s="327">
        <v>770038.19</v>
      </c>
      <c r="F72" s="328">
        <f t="shared" si="15"/>
        <v>14841290.039999999</v>
      </c>
      <c r="G72" s="334">
        <v>32810</v>
      </c>
      <c r="H72" s="330" t="s">
        <v>186</v>
      </c>
      <c r="I72" s="327">
        <f t="shared" si="6"/>
        <v>452.34044620542517</v>
      </c>
      <c r="J72" s="86">
        <v>11962636.49</v>
      </c>
      <c r="K72" s="86">
        <v>11547</v>
      </c>
      <c r="L72" s="86">
        <v>612636.72</v>
      </c>
      <c r="M72" s="86">
        <v>802013.99</v>
      </c>
      <c r="N72" s="328">
        <f t="shared" si="13"/>
        <v>13388834.200000001</v>
      </c>
      <c r="O72" s="88">
        <v>13783</v>
      </c>
      <c r="P72" s="91" t="s">
        <v>100</v>
      </c>
      <c r="Q72" s="327">
        <f t="shared" si="14"/>
        <v>971.40203148806506</v>
      </c>
      <c r="R72" s="531">
        <f t="shared" si="7"/>
        <v>-9.7865875276701892</v>
      </c>
      <c r="S72" s="531">
        <f t="shared" si="7"/>
        <v>-57.991466016458396</v>
      </c>
      <c r="T72" s="531">
        <f t="shared" si="0"/>
        <v>114.75020410775166</v>
      </c>
    </row>
    <row r="73" spans="1:20" s="291" customFormat="1" x14ac:dyDescent="0.4">
      <c r="A73" s="79" t="s">
        <v>319</v>
      </c>
      <c r="B73" s="327">
        <v>5333667.29</v>
      </c>
      <c r="C73" s="327">
        <v>103090.3</v>
      </c>
      <c r="D73" s="327">
        <v>239705.88</v>
      </c>
      <c r="E73" s="327">
        <v>308015.28000000003</v>
      </c>
      <c r="F73" s="328">
        <f t="shared" si="15"/>
        <v>5984478.75</v>
      </c>
      <c r="G73" s="334">
        <v>15</v>
      </c>
      <c r="H73" s="330" t="s">
        <v>104</v>
      </c>
      <c r="I73" s="327">
        <f t="shared" si="6"/>
        <v>398965.25</v>
      </c>
      <c r="J73" s="71">
        <v>4785054.5999999996</v>
      </c>
      <c r="K73" s="71">
        <v>4618.8</v>
      </c>
      <c r="L73" s="71">
        <v>245054.69</v>
      </c>
      <c r="M73" s="71">
        <v>320805.59000000003</v>
      </c>
      <c r="N73" s="328">
        <f t="shared" si="13"/>
        <v>5355533.68</v>
      </c>
      <c r="O73" s="78">
        <v>20</v>
      </c>
      <c r="P73" s="75" t="s">
        <v>104</v>
      </c>
      <c r="Q73" s="327">
        <f t="shared" si="14"/>
        <v>267776.68400000001</v>
      </c>
      <c r="R73" s="531">
        <f t="shared" si="7"/>
        <v>-10.509604867424757</v>
      </c>
      <c r="S73" s="531">
        <f t="shared" si="7"/>
        <v>33.333333333333336</v>
      </c>
      <c r="T73" s="531">
        <f t="shared" si="0"/>
        <v>-32.882203650568563</v>
      </c>
    </row>
    <row r="74" spans="1:20" s="291" customFormat="1" x14ac:dyDescent="0.4">
      <c r="A74" s="79" t="s">
        <v>320</v>
      </c>
      <c r="B74" s="327">
        <v>7049518.6799999997</v>
      </c>
      <c r="C74" s="327">
        <v>-63346.48</v>
      </c>
      <c r="D74" s="327">
        <v>328205.57</v>
      </c>
      <c r="E74" s="327">
        <v>464468.84</v>
      </c>
      <c r="F74" s="328">
        <f t="shared" si="15"/>
        <v>7778846.6099999994</v>
      </c>
      <c r="G74" s="334">
        <v>3057</v>
      </c>
      <c r="H74" s="330" t="s">
        <v>104</v>
      </c>
      <c r="I74" s="327">
        <f t="shared" si="6"/>
        <v>2544.6014425907752</v>
      </c>
      <c r="J74" s="71">
        <v>6887215.1100000003</v>
      </c>
      <c r="K74" s="71">
        <f>170745.71-8271.32</f>
        <v>162474.38999999998</v>
      </c>
      <c r="L74" s="71">
        <v>392862.94</v>
      </c>
      <c r="M74" s="71">
        <v>359407.52</v>
      </c>
      <c r="N74" s="328">
        <f t="shared" si="13"/>
        <v>7801959.9600000009</v>
      </c>
      <c r="O74" s="78">
        <v>3281</v>
      </c>
      <c r="P74" s="75" t="s">
        <v>104</v>
      </c>
      <c r="Q74" s="327">
        <f t="shared" si="14"/>
        <v>2377.9213532459617</v>
      </c>
      <c r="R74" s="531">
        <f t="shared" si="7"/>
        <v>0.29713081075912218</v>
      </c>
      <c r="S74" s="531">
        <f t="shared" si="7"/>
        <v>7.327445207719987</v>
      </c>
      <c r="T74" s="531">
        <f t="shared" si="0"/>
        <v>-6.550341698113197</v>
      </c>
    </row>
    <row r="75" spans="1:20" s="291" customFormat="1" x14ac:dyDescent="0.4">
      <c r="A75" s="79" t="s">
        <v>321</v>
      </c>
      <c r="B75" s="327">
        <v>13097676.560000001</v>
      </c>
      <c r="C75" s="327">
        <v>-20195.3</v>
      </c>
      <c r="D75" s="327">
        <v>241319.21</v>
      </c>
      <c r="E75" s="327">
        <v>390640.27</v>
      </c>
      <c r="F75" s="328">
        <f>SUM(B75:E75)</f>
        <v>13709440.74</v>
      </c>
      <c r="G75" s="334">
        <v>2521</v>
      </c>
      <c r="H75" s="330" t="s">
        <v>105</v>
      </c>
      <c r="I75" s="327">
        <f t="shared" si="6"/>
        <v>5438.0962871876236</v>
      </c>
      <c r="J75" s="71">
        <v>7241651.3200000003</v>
      </c>
      <c r="K75" s="71">
        <v>22733.4</v>
      </c>
      <c r="L75" s="71">
        <v>74394.5</v>
      </c>
      <c r="M75" s="71">
        <v>66962.23</v>
      </c>
      <c r="N75" s="328">
        <f t="shared" si="13"/>
        <v>7405741.4500000011</v>
      </c>
      <c r="O75" s="78">
        <v>1</v>
      </c>
      <c r="P75" s="75" t="s">
        <v>106</v>
      </c>
      <c r="Q75" s="327">
        <f t="shared" si="14"/>
        <v>7405741.4500000011</v>
      </c>
      <c r="R75" s="531">
        <f t="shared" si="7"/>
        <v>-45.98071802891063</v>
      </c>
      <c r="S75" s="531">
        <f t="shared" si="7"/>
        <v>-99.960333201110672</v>
      </c>
      <c r="T75" s="531">
        <f t="shared" si="0"/>
        <v>136082.60984911633</v>
      </c>
    </row>
    <row r="76" spans="1:20" s="291" customFormat="1" x14ac:dyDescent="0.4">
      <c r="A76" s="79" t="s">
        <v>322</v>
      </c>
      <c r="B76" s="327">
        <v>4183924.25</v>
      </c>
      <c r="C76" s="327">
        <v>-53759.48</v>
      </c>
      <c r="D76" s="327">
        <v>190456.62</v>
      </c>
      <c r="E76" s="327">
        <v>245005.8</v>
      </c>
      <c r="F76" s="328">
        <f>SUM(B76:E76)</f>
        <v>4565627.1899999995</v>
      </c>
      <c r="G76" s="334">
        <v>1</v>
      </c>
      <c r="H76" s="355" t="s">
        <v>106</v>
      </c>
      <c r="I76" s="327">
        <f t="shared" si="6"/>
        <v>4565627.1899999995</v>
      </c>
      <c r="J76" s="71">
        <f>5619383.23*0.7</f>
        <v>3933568.2609999999</v>
      </c>
      <c r="K76" s="71">
        <f>42006.77*0.7</f>
        <v>29404.738999999994</v>
      </c>
      <c r="L76" s="71">
        <f>239180.48*0.7</f>
        <v>167426.33600000001</v>
      </c>
      <c r="M76" s="71">
        <f>309643.12*0.7</f>
        <v>216750.18399999998</v>
      </c>
      <c r="N76" s="328">
        <f t="shared" si="13"/>
        <v>4347149.5200000005</v>
      </c>
      <c r="O76" s="78">
        <v>1</v>
      </c>
      <c r="P76" s="75" t="s">
        <v>106</v>
      </c>
      <c r="Q76" s="327">
        <f t="shared" si="14"/>
        <v>4347149.5200000005</v>
      </c>
      <c r="R76" s="531">
        <f t="shared" si="7"/>
        <v>-4.7852717908839821</v>
      </c>
      <c r="S76" s="531">
        <f t="shared" si="7"/>
        <v>0</v>
      </c>
      <c r="T76" s="531">
        <f t="shared" si="0"/>
        <v>-4.7852717908839821</v>
      </c>
    </row>
    <row r="77" spans="1:20" s="291" customFormat="1" x14ac:dyDescent="0.4">
      <c r="A77" s="79" t="s">
        <v>323</v>
      </c>
      <c r="B77" s="327">
        <v>1793110.39</v>
      </c>
      <c r="C77" s="327">
        <v>-23039.78</v>
      </c>
      <c r="D77" s="327">
        <v>81624.27</v>
      </c>
      <c r="E77" s="327">
        <v>105002.48</v>
      </c>
      <c r="F77" s="328">
        <f>SUM(B77:E77)+0.01</f>
        <v>1956697.3699999999</v>
      </c>
      <c r="G77" s="334">
        <v>95</v>
      </c>
      <c r="H77" s="330" t="s">
        <v>111</v>
      </c>
      <c r="I77" s="327">
        <f t="shared" si="6"/>
        <v>20596.81442105263</v>
      </c>
      <c r="J77" s="71">
        <f>5619383.23*0.3</f>
        <v>1685814.969</v>
      </c>
      <c r="K77" s="71">
        <f>42006.77*0.3</f>
        <v>12602.030999999999</v>
      </c>
      <c r="L77" s="71">
        <f>239180.48*0.3</f>
        <v>71754.144</v>
      </c>
      <c r="M77" s="71">
        <f>309643.12*0.3</f>
        <v>92892.936000000002</v>
      </c>
      <c r="N77" s="328">
        <f t="shared" si="13"/>
        <v>1863064.08</v>
      </c>
      <c r="O77" s="78">
        <v>92</v>
      </c>
      <c r="P77" s="75" t="s">
        <v>99</v>
      </c>
      <c r="Q77" s="327">
        <f t="shared" si="14"/>
        <v>20250.69652173913</v>
      </c>
      <c r="R77" s="531">
        <f t="shared" si="7"/>
        <v>-4.7852719299152442</v>
      </c>
      <c r="S77" s="531">
        <f t="shared" si="7"/>
        <v>-3.1578947368421053</v>
      </c>
      <c r="T77" s="531">
        <f t="shared" si="0"/>
        <v>-1.6804438406733535</v>
      </c>
    </row>
    <row r="78" spans="1:20" s="291" customFormat="1" x14ac:dyDescent="0.4">
      <c r="A78" s="179" t="s">
        <v>324</v>
      </c>
      <c r="B78" s="327">
        <v>5117289.93</v>
      </c>
      <c r="C78" s="327">
        <v>-12816.27</v>
      </c>
      <c r="D78" s="327">
        <v>201294.88</v>
      </c>
      <c r="E78" s="327">
        <v>240171.91</v>
      </c>
      <c r="F78" s="328">
        <f>SUM(B78:E78)+0.01</f>
        <v>5545940.46</v>
      </c>
      <c r="G78" s="334">
        <v>2473</v>
      </c>
      <c r="H78" s="330" t="s">
        <v>330</v>
      </c>
      <c r="I78" s="327">
        <f t="shared" si="6"/>
        <v>2242.5962232106754</v>
      </c>
      <c r="J78" s="71">
        <v>4443505.45</v>
      </c>
      <c r="K78" s="71">
        <v>-1543.04</v>
      </c>
      <c r="L78" s="71">
        <v>264469.34999999998</v>
      </c>
      <c r="M78" s="71">
        <v>375655.57</v>
      </c>
      <c r="N78" s="328">
        <f t="shared" si="13"/>
        <v>5082087.33</v>
      </c>
      <c r="O78" s="78">
        <v>3013</v>
      </c>
      <c r="P78" s="75" t="s">
        <v>180</v>
      </c>
      <c r="Q78" s="327">
        <f t="shared" si="14"/>
        <v>1686.7199900431465</v>
      </c>
      <c r="R78" s="531">
        <f t="shared" si="7"/>
        <v>-8.3638317674979117</v>
      </c>
      <c r="S78" s="531">
        <f t="shared" si="7"/>
        <v>21.835826930853216</v>
      </c>
      <c r="T78" s="531">
        <f t="shared" si="0"/>
        <v>-24.787174232002101</v>
      </c>
    </row>
    <row r="79" spans="1:20" x14ac:dyDescent="0.4">
      <c r="A79" s="179" t="s">
        <v>325</v>
      </c>
      <c r="B79" s="327">
        <v>5095989.5599999996</v>
      </c>
      <c r="C79" s="327">
        <v>25557.42</v>
      </c>
      <c r="D79" s="327">
        <v>226798.39</v>
      </c>
      <c r="E79" s="327">
        <v>300212.57</v>
      </c>
      <c r="F79" s="328">
        <v>5648557.9400000004</v>
      </c>
      <c r="G79" s="334">
        <v>1178</v>
      </c>
      <c r="H79" s="355" t="s">
        <v>104</v>
      </c>
      <c r="I79" s="327">
        <f t="shared" si="6"/>
        <v>4795.0406960950768</v>
      </c>
      <c r="J79" s="71">
        <v>4376697.32</v>
      </c>
      <c r="K79" s="71">
        <v>-3303.79</v>
      </c>
      <c r="L79" s="71">
        <v>250813.48</v>
      </c>
      <c r="M79" s="71">
        <v>285399.93</v>
      </c>
      <c r="N79" s="328">
        <f t="shared" si="13"/>
        <v>4909606.9400000004</v>
      </c>
      <c r="O79" s="78">
        <v>827</v>
      </c>
      <c r="P79" s="75" t="s">
        <v>105</v>
      </c>
      <c r="Q79" s="327">
        <f t="shared" si="14"/>
        <v>5936.6468440145109</v>
      </c>
      <c r="R79" s="531">
        <f t="shared" si="7"/>
        <v>-13.082117734283168</v>
      </c>
      <c r="S79" s="531">
        <f t="shared" si="7"/>
        <v>-29.796264855687607</v>
      </c>
      <c r="T79" s="531">
        <f t="shared" si="0"/>
        <v>23.808059623959405</v>
      </c>
    </row>
    <row r="80" spans="1:20" x14ac:dyDescent="0.4">
      <c r="A80" s="179" t="s">
        <v>326</v>
      </c>
      <c r="B80" s="336">
        <v>4181529.59</v>
      </c>
      <c r="C80" s="336">
        <v>26088.22</v>
      </c>
      <c r="D80" s="336">
        <v>221834.02</v>
      </c>
      <c r="E80" s="336">
        <v>357431.03</v>
      </c>
      <c r="F80" s="328">
        <f t="shared" si="15"/>
        <v>4786882.8599999994</v>
      </c>
      <c r="G80" s="358">
        <v>18985</v>
      </c>
      <c r="H80" s="510" t="s">
        <v>112</v>
      </c>
      <c r="I80" s="327">
        <f t="shared" si="6"/>
        <v>252.14026125888856</v>
      </c>
      <c r="J80" s="71">
        <f>6986937.19*0.7</f>
        <v>4890856.0329999998</v>
      </c>
      <c r="K80" s="71">
        <f>54921*0.7</f>
        <v>38444.699999999997</v>
      </c>
      <c r="L80" s="71">
        <f>287674.48*0.7</f>
        <v>201372.13599999997</v>
      </c>
      <c r="M80" s="71">
        <f>1282663.25*0.7</f>
        <v>897864.27499999991</v>
      </c>
      <c r="N80" s="337">
        <f t="shared" si="13"/>
        <v>6028537.1439999994</v>
      </c>
      <c r="O80" s="78">
        <v>20050</v>
      </c>
      <c r="P80" s="75" t="s">
        <v>210</v>
      </c>
      <c r="Q80" s="336">
        <f t="shared" si="14"/>
        <v>300.67516927680794</v>
      </c>
      <c r="R80" s="531">
        <f t="shared" si="7"/>
        <v>25.938681190122129</v>
      </c>
      <c r="S80" s="531">
        <f t="shared" si="7"/>
        <v>5.6096918619963132</v>
      </c>
      <c r="T80" s="531">
        <f t="shared" si="0"/>
        <v>19.249170194237834</v>
      </c>
    </row>
    <row r="81" spans="1:20" x14ac:dyDescent="0.4">
      <c r="A81" s="179" t="s">
        <v>327</v>
      </c>
      <c r="B81" s="336">
        <v>1792084.11</v>
      </c>
      <c r="C81" s="336">
        <v>11180.67</v>
      </c>
      <c r="D81" s="336">
        <v>95071.72</v>
      </c>
      <c r="E81" s="336">
        <v>153184.73000000001</v>
      </c>
      <c r="F81" s="328">
        <f t="shared" si="15"/>
        <v>2051521.23</v>
      </c>
      <c r="G81" s="358">
        <v>23</v>
      </c>
      <c r="H81" s="359" t="s">
        <v>107</v>
      </c>
      <c r="I81" s="327">
        <f t="shared" si="6"/>
        <v>89196.575217391306</v>
      </c>
      <c r="J81" s="71">
        <f>6986937.19*0.3</f>
        <v>2096081.1570000001</v>
      </c>
      <c r="K81" s="71">
        <f>54921*0.3</f>
        <v>16476.3</v>
      </c>
      <c r="L81" s="71">
        <f>287674.48*0.3</f>
        <v>86302.343999999997</v>
      </c>
      <c r="M81" s="71">
        <f>1282663.25*0.3</f>
        <v>384798.97499999998</v>
      </c>
      <c r="N81" s="337">
        <f t="shared" si="13"/>
        <v>2583658.7760000001</v>
      </c>
      <c r="O81" s="78">
        <v>24</v>
      </c>
      <c r="P81" s="75" t="s">
        <v>107</v>
      </c>
      <c r="Q81" s="336">
        <f t="shared" si="14"/>
        <v>107652.44900000001</v>
      </c>
      <c r="R81" s="531">
        <f t="shared" si="7"/>
        <v>25.938680927030919</v>
      </c>
      <c r="S81" s="531">
        <f t="shared" si="7"/>
        <v>4.3478260869565215</v>
      </c>
      <c r="T81" s="531">
        <f t="shared" ref="T81" si="16">SUM(Q81-I81)*100/I81</f>
        <v>20.691235888404634</v>
      </c>
    </row>
    <row r="82" spans="1:20" x14ac:dyDescent="0.4">
      <c r="A82" s="179" t="s">
        <v>328</v>
      </c>
      <c r="B82" s="336">
        <v>7281933.0499999998</v>
      </c>
      <c r="C82" s="336">
        <v>77974.5</v>
      </c>
      <c r="D82" s="336">
        <v>320739</v>
      </c>
      <c r="E82" s="336">
        <v>1427859.13</v>
      </c>
      <c r="F82" s="328">
        <f t="shared" si="15"/>
        <v>9108505.6799999997</v>
      </c>
      <c r="G82" s="358">
        <v>5</v>
      </c>
      <c r="H82" s="359" t="s">
        <v>105</v>
      </c>
      <c r="I82" s="327">
        <f t="shared" si="6"/>
        <v>1821701.1359999999</v>
      </c>
      <c r="J82" s="71">
        <f>2841897.68-1420948</f>
        <v>1420949.6800000002</v>
      </c>
      <c r="K82" s="71">
        <v>0</v>
      </c>
      <c r="L82" s="71">
        <f>265320.23-132660</f>
        <v>132660.22999999998</v>
      </c>
      <c r="M82" s="71">
        <f>235154.5-117577</f>
        <v>117577.5</v>
      </c>
      <c r="N82" s="337">
        <f t="shared" si="13"/>
        <v>1671187.4100000001</v>
      </c>
      <c r="O82" s="78">
        <v>5</v>
      </c>
      <c r="P82" s="75" t="s">
        <v>105</v>
      </c>
      <c r="Q82" s="336">
        <f t="shared" si="14"/>
        <v>334237.48200000002</v>
      </c>
      <c r="R82" s="531">
        <f t="shared" ref="R82:R83" si="17">SUM(N82-F82)*100/F82</f>
        <v>-81.652452458041395</v>
      </c>
      <c r="S82" s="531">
        <f t="shared" ref="S82:S83" si="18">SUM(O82-G82)*100/G82</f>
        <v>0</v>
      </c>
      <c r="T82" s="531">
        <f t="shared" ref="T82:T83" si="19">SUM(Q82-I82)*100/I82</f>
        <v>-81.652452458041381</v>
      </c>
    </row>
    <row r="83" spans="1:20" x14ac:dyDescent="0.4">
      <c r="A83" s="79" t="s">
        <v>329</v>
      </c>
      <c r="B83" s="336">
        <v>5856857.6299999999</v>
      </c>
      <c r="C83" s="336">
        <v>30034.16</v>
      </c>
      <c r="D83" s="336">
        <v>310058.99</v>
      </c>
      <c r="E83" s="336">
        <v>384855.06</v>
      </c>
      <c r="F83" s="328">
        <f t="shared" si="15"/>
        <v>6581805.8399999999</v>
      </c>
      <c r="G83" s="358">
        <v>910</v>
      </c>
      <c r="H83" s="359" t="s">
        <v>105</v>
      </c>
      <c r="I83" s="327">
        <f t="shared" si="6"/>
        <v>7232.7536703296701</v>
      </c>
      <c r="J83" s="71">
        <v>23245827.420000002</v>
      </c>
      <c r="K83" s="71">
        <v>-125098</v>
      </c>
      <c r="L83" s="71">
        <v>161846.62</v>
      </c>
      <c r="M83" s="71">
        <v>492379.47</v>
      </c>
      <c r="N83" s="337">
        <f t="shared" si="13"/>
        <v>23774955.510000002</v>
      </c>
      <c r="O83" s="78">
        <v>870</v>
      </c>
      <c r="P83" s="75" t="s">
        <v>104</v>
      </c>
      <c r="Q83" s="336">
        <f t="shared" si="14"/>
        <v>27327.535068965521</v>
      </c>
      <c r="R83" s="531">
        <f t="shared" si="17"/>
        <v>261.22237707941872</v>
      </c>
      <c r="S83" s="531">
        <f t="shared" si="18"/>
        <v>-4.395604395604396</v>
      </c>
      <c r="T83" s="531">
        <f t="shared" si="19"/>
        <v>277.83030246238053</v>
      </c>
    </row>
    <row r="84" spans="1:20" x14ac:dyDescent="0.4">
      <c r="A84" s="443" t="s">
        <v>331</v>
      </c>
      <c r="B84" s="336">
        <v>7007078.3200000003</v>
      </c>
      <c r="C84" s="336">
        <v>95437.84</v>
      </c>
      <c r="D84" s="336">
        <v>294720.88</v>
      </c>
      <c r="E84" s="336">
        <v>276251.78999999998</v>
      </c>
      <c r="F84" s="328">
        <f t="shared" si="15"/>
        <v>7673488.8300000001</v>
      </c>
      <c r="G84" s="358">
        <v>15</v>
      </c>
      <c r="H84" s="359" t="s">
        <v>99</v>
      </c>
      <c r="I84" s="327">
        <f t="shared" ref="I84:I88" si="20">+F84/G84</f>
        <v>511565.92200000002</v>
      </c>
      <c r="J84" s="336"/>
      <c r="K84" s="336"/>
      <c r="L84" s="336"/>
      <c r="M84" s="336"/>
      <c r="N84" s="337"/>
      <c r="O84" s="334"/>
      <c r="P84" s="360"/>
      <c r="Q84" s="336"/>
      <c r="R84" s="332">
        <v>0</v>
      </c>
      <c r="S84" s="332">
        <v>0</v>
      </c>
      <c r="T84" s="328">
        <v>0</v>
      </c>
    </row>
    <row r="85" spans="1:20" x14ac:dyDescent="0.4">
      <c r="A85" s="443" t="s">
        <v>332</v>
      </c>
      <c r="B85" s="336">
        <v>23673962.940000001</v>
      </c>
      <c r="C85" s="336">
        <v>-68173.22</v>
      </c>
      <c r="D85" s="336">
        <v>833250.32</v>
      </c>
      <c r="E85" s="336">
        <v>873970.16</v>
      </c>
      <c r="F85" s="328">
        <f t="shared" si="15"/>
        <v>25313010.200000003</v>
      </c>
      <c r="G85" s="358">
        <v>10</v>
      </c>
      <c r="H85" s="359" t="s">
        <v>108</v>
      </c>
      <c r="I85" s="327">
        <f t="shared" si="20"/>
        <v>2531301.0200000005</v>
      </c>
      <c r="J85" s="336"/>
      <c r="K85" s="336"/>
      <c r="L85" s="336"/>
      <c r="M85" s="336"/>
      <c r="N85" s="337"/>
      <c r="O85" s="338"/>
      <c r="P85" s="360"/>
      <c r="Q85" s="336"/>
      <c r="R85" s="332">
        <v>0</v>
      </c>
      <c r="S85" s="332">
        <v>0</v>
      </c>
      <c r="T85" s="328">
        <v>0</v>
      </c>
    </row>
    <row r="86" spans="1:20" x14ac:dyDescent="0.4">
      <c r="A86" s="443" t="s">
        <v>333</v>
      </c>
      <c r="B86" s="336">
        <v>2335692.77</v>
      </c>
      <c r="C86" s="336">
        <v>31812.61</v>
      </c>
      <c r="D86" s="336">
        <v>98240.3</v>
      </c>
      <c r="E86" s="336">
        <v>92083.93</v>
      </c>
      <c r="F86" s="328">
        <f t="shared" si="15"/>
        <v>2557829.61</v>
      </c>
      <c r="G86" s="358">
        <v>11</v>
      </c>
      <c r="H86" s="359" t="s">
        <v>104</v>
      </c>
      <c r="I86" s="327">
        <f t="shared" si="20"/>
        <v>232529.96454545454</v>
      </c>
      <c r="J86" s="336"/>
      <c r="K86" s="336"/>
      <c r="L86" s="336"/>
      <c r="M86" s="336"/>
      <c r="N86" s="337"/>
      <c r="O86" s="338"/>
      <c r="P86" s="360"/>
      <c r="Q86" s="336"/>
      <c r="R86" s="332">
        <v>0</v>
      </c>
      <c r="S86" s="332">
        <v>0</v>
      </c>
      <c r="T86" s="328">
        <v>0</v>
      </c>
    </row>
    <row r="87" spans="1:20" x14ac:dyDescent="0.4">
      <c r="A87" s="443" t="s">
        <v>335</v>
      </c>
      <c r="B87" s="336">
        <v>2335692.77</v>
      </c>
      <c r="C87" s="336">
        <v>31812.61</v>
      </c>
      <c r="D87" s="336">
        <v>98240.3</v>
      </c>
      <c r="E87" s="336">
        <v>92083.93</v>
      </c>
      <c r="F87" s="328">
        <f t="shared" si="15"/>
        <v>2557829.61</v>
      </c>
      <c r="G87" s="358">
        <v>8</v>
      </c>
      <c r="H87" s="359" t="s">
        <v>99</v>
      </c>
      <c r="I87" s="327">
        <f t="shared" si="20"/>
        <v>319728.70124999998</v>
      </c>
      <c r="J87" s="336"/>
      <c r="K87" s="336"/>
      <c r="L87" s="336"/>
      <c r="M87" s="336"/>
      <c r="N87" s="337"/>
      <c r="O87" s="338"/>
      <c r="P87" s="360"/>
      <c r="Q87" s="336"/>
      <c r="R87" s="332">
        <v>0</v>
      </c>
      <c r="S87" s="332">
        <v>0</v>
      </c>
      <c r="T87" s="328">
        <v>0</v>
      </c>
    </row>
    <row r="88" spans="1:20" x14ac:dyDescent="0.4">
      <c r="A88" s="444" t="s">
        <v>336</v>
      </c>
      <c r="B88" s="336">
        <v>18155256.809999999</v>
      </c>
      <c r="C88" s="336">
        <v>220112.81</v>
      </c>
      <c r="D88" s="336">
        <v>735857.4</v>
      </c>
      <c r="E88" s="336">
        <v>1012713.5</v>
      </c>
      <c r="F88" s="337">
        <f t="shared" si="15"/>
        <v>20123940.519999996</v>
      </c>
      <c r="G88" s="358">
        <v>12</v>
      </c>
      <c r="H88" s="359" t="s">
        <v>99</v>
      </c>
      <c r="I88" s="327">
        <f t="shared" si="20"/>
        <v>1676995.043333333</v>
      </c>
      <c r="J88" s="336"/>
      <c r="K88" s="336"/>
      <c r="L88" s="336"/>
      <c r="M88" s="336"/>
      <c r="N88" s="337"/>
      <c r="O88" s="338"/>
      <c r="P88" s="360"/>
      <c r="Q88" s="336"/>
      <c r="R88" s="332">
        <v>0</v>
      </c>
      <c r="S88" s="332">
        <v>0</v>
      </c>
      <c r="T88" s="328">
        <v>0</v>
      </c>
    </row>
    <row r="89" spans="1:20" s="291" customFormat="1" ht="21.6" thickBot="1" x14ac:dyDescent="0.45">
      <c r="A89" s="300" t="s">
        <v>17</v>
      </c>
      <c r="B89" s="361">
        <f>SUM(B15:B88)</f>
        <v>1895103351.24</v>
      </c>
      <c r="C89" s="361">
        <f>SUM(C15:C88)+0.02</f>
        <v>13824493.130000001</v>
      </c>
      <c r="D89" s="361">
        <f>SUM(D15:D88)</f>
        <v>125975531.26999995</v>
      </c>
      <c r="E89" s="361">
        <f>SUM(E15:E88)-0.01</f>
        <v>271959990.83000004</v>
      </c>
      <c r="F89" s="361">
        <f>SUM(B89:E89)</f>
        <v>2306863366.4700003</v>
      </c>
      <c r="G89" s="362">
        <f>SUM(G15:G88)</f>
        <v>2336690038</v>
      </c>
      <c r="H89" s="361"/>
      <c r="I89" s="361">
        <f>+F89/G89</f>
        <v>0.98723550362052781</v>
      </c>
      <c r="J89" s="361">
        <f>SUM(J15:J84)</f>
        <v>2548604910.4399986</v>
      </c>
      <c r="K89" s="361">
        <f>SUM(K15:K84)</f>
        <v>5263197.1999999993</v>
      </c>
      <c r="L89" s="361">
        <f>SUM(L15:L84)</f>
        <v>97396995.420000002</v>
      </c>
      <c r="M89" s="361">
        <f>SUM(M15:M84)</f>
        <v>297148778.58999991</v>
      </c>
      <c r="N89" s="361">
        <f>+J89+K89+L89+M89</f>
        <v>2948413881.6499987</v>
      </c>
      <c r="O89" s="361">
        <f>SUM(O15:O83)</f>
        <v>2367980055.1399999</v>
      </c>
      <c r="P89" s="361"/>
      <c r="Q89" s="361">
        <f>+N89/O89</f>
        <v>1.2451177007382701</v>
      </c>
      <c r="R89" s="496">
        <f>+(N89-F89)*100/F89</f>
        <v>27.810512079079455</v>
      </c>
      <c r="S89" s="496">
        <f>+(O89-G89)*100/G89</f>
        <v>1.3390743586505531</v>
      </c>
      <c r="T89" s="496">
        <f>+(Q89-I89)*100/I89</f>
        <v>26.121649411108162</v>
      </c>
    </row>
    <row r="90" spans="1:20" s="363" customFormat="1" ht="21.6" thickTop="1" x14ac:dyDescent="0.4">
      <c r="R90" s="364"/>
    </row>
    <row r="91" spans="1:20" x14ac:dyDescent="0.4">
      <c r="B91" s="363"/>
      <c r="F91" s="363"/>
      <c r="N91" s="363"/>
    </row>
    <row r="92" spans="1:20" x14ac:dyDescent="0.4">
      <c r="N92" s="366"/>
      <c r="O92" s="366"/>
      <c r="Q92" s="302"/>
      <c r="R92" s="302"/>
    </row>
    <row r="93" spans="1:20" x14ac:dyDescent="0.4">
      <c r="F93" s="363"/>
      <c r="Q93" s="302"/>
      <c r="R93" s="302"/>
    </row>
  </sheetData>
  <mergeCells count="41">
    <mergeCell ref="A9:A11"/>
    <mergeCell ref="A1:I1"/>
    <mergeCell ref="J1:T1"/>
    <mergeCell ref="A2:I2"/>
    <mergeCell ref="J2:T2"/>
    <mergeCell ref="A3:I3"/>
    <mergeCell ref="J3:T3"/>
    <mergeCell ref="A4:I4"/>
    <mergeCell ref="J4:T4"/>
    <mergeCell ref="A8:I8"/>
    <mergeCell ref="J8:Q8"/>
    <mergeCell ref="R8:T8"/>
    <mergeCell ref="A12:A13"/>
    <mergeCell ref="B12:B13"/>
    <mergeCell ref="C12:C13"/>
    <mergeCell ref="D12:D13"/>
    <mergeCell ref="E12:E13"/>
    <mergeCell ref="Q12:Q13"/>
    <mergeCell ref="B14:T14"/>
    <mergeCell ref="G12:G13"/>
    <mergeCell ref="H12:H13"/>
    <mergeCell ref="I12:I13"/>
    <mergeCell ref="J12:J13"/>
    <mergeCell ref="K12:K13"/>
    <mergeCell ref="L12:L13"/>
    <mergeCell ref="F12:F13"/>
    <mergeCell ref="M12:M13"/>
    <mergeCell ref="N12:N13"/>
    <mergeCell ref="O12:O13"/>
    <mergeCell ref="P12:P13"/>
    <mergeCell ref="P20:P21"/>
    <mergeCell ref="Q20:Q21"/>
    <mergeCell ref="R20:R21"/>
    <mergeCell ref="S20:S21"/>
    <mergeCell ref="T20:T21"/>
    <mergeCell ref="O20:O21"/>
    <mergeCell ref="J20:J21"/>
    <mergeCell ref="K20:K21"/>
    <mergeCell ref="L20:L21"/>
    <mergeCell ref="M20:M21"/>
    <mergeCell ref="N20:N21"/>
  </mergeCells>
  <pageMargins left="0" right="0" top="0.59055118110236227" bottom="0.19685039370078741" header="0.31496062992125984" footer="0.31496062992125984"/>
  <pageSetup paperSize="5" scale="49" orientation="landscape" r:id="rId1"/>
  <headerFooter>
    <oddHeader>&amp;R10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Y61"/>
  <sheetViews>
    <sheetView topLeftCell="A7" workbookViewId="0">
      <pane xSplit="1" ySplit="9" topLeftCell="P47" activePane="bottomRight" state="frozen"/>
      <selection activeCell="A7" sqref="A7"/>
      <selection pane="topRight" activeCell="B7" sqref="B7"/>
      <selection pane="bottomLeft" activeCell="A16" sqref="A16"/>
      <selection pane="bottomRight" activeCell="R43" sqref="R43:T43"/>
    </sheetView>
  </sheetViews>
  <sheetFormatPr defaultColWidth="8.19921875" defaultRowHeight="21" x14ac:dyDescent="0.4"/>
  <cols>
    <col min="1" max="1" width="55.09765625" style="48" customWidth="1"/>
    <col min="2" max="2" width="16.296875" style="48" customWidth="1"/>
    <col min="3" max="3" width="14.69921875" style="48" customWidth="1"/>
    <col min="4" max="4" width="16.19921875" style="48" customWidth="1"/>
    <col min="5" max="5" width="15.09765625" style="48" customWidth="1"/>
    <col min="6" max="6" width="17.09765625" style="48" customWidth="1"/>
    <col min="7" max="7" width="13.59765625" style="48" customWidth="1"/>
    <col min="8" max="8" width="10" style="48" customWidth="1"/>
    <col min="9" max="9" width="13.59765625" style="48" customWidth="1"/>
    <col min="10" max="10" width="17.69921875" style="48" bestFit="1" customWidth="1"/>
    <col min="11" max="11" width="14.8984375" style="48" customWidth="1"/>
    <col min="12" max="12" width="15.19921875" style="48" bestFit="1" customWidth="1"/>
    <col min="13" max="13" width="16.69921875" style="48" customWidth="1"/>
    <col min="14" max="14" width="17.8984375" style="48" customWidth="1"/>
    <col min="15" max="15" width="12.19921875" style="398" customWidth="1"/>
    <col min="16" max="16" width="9.59765625" style="399" customWidth="1"/>
    <col min="17" max="17" width="13.3984375" style="48" customWidth="1"/>
    <col min="18" max="18" width="12.19921875" style="400" customWidth="1"/>
    <col min="19" max="19" width="11.796875" style="47" customWidth="1"/>
    <col min="20" max="20" width="12.296875" style="47" customWidth="1"/>
    <col min="21" max="21" width="14.3984375" style="48" bestFit="1" customWidth="1"/>
    <col min="22" max="22" width="8.09765625" style="48" customWidth="1"/>
    <col min="23" max="256" width="8.19921875" style="48"/>
    <col min="257" max="257" width="54.59765625" style="48" customWidth="1"/>
    <col min="258" max="258" width="16.296875" style="48" customWidth="1"/>
    <col min="259" max="259" width="13.796875" style="48" customWidth="1"/>
    <col min="260" max="260" width="16.19921875" style="48" customWidth="1"/>
    <col min="261" max="261" width="14.796875" style="48" customWidth="1"/>
    <col min="262" max="262" width="16.296875" style="48" customWidth="1"/>
    <col min="263" max="263" width="13.59765625" style="48" customWidth="1"/>
    <col min="264" max="264" width="10" style="48" customWidth="1"/>
    <col min="265" max="265" width="13.59765625" style="48" customWidth="1"/>
    <col min="266" max="266" width="17.69921875" style="48" bestFit="1" customWidth="1"/>
    <col min="267" max="267" width="14.09765625" style="48" bestFit="1" customWidth="1"/>
    <col min="268" max="269" width="15.19921875" style="48" bestFit="1" customWidth="1"/>
    <col min="270" max="270" width="16.796875" style="48" bestFit="1" customWidth="1"/>
    <col min="271" max="271" width="12.796875" style="48" bestFit="1" customWidth="1"/>
    <col min="272" max="272" width="11.69921875" style="48" customWidth="1"/>
    <col min="273" max="273" width="14.296875" style="48" bestFit="1" customWidth="1"/>
    <col min="274" max="275" width="13.09765625" style="48" bestFit="1" customWidth="1"/>
    <col min="276" max="276" width="13.796875" style="48" customWidth="1"/>
    <col min="277" max="277" width="14.3984375" style="48" bestFit="1" customWidth="1"/>
    <col min="278" max="278" width="8.09765625" style="48" customWidth="1"/>
    <col min="279" max="512" width="8.19921875" style="48"/>
    <col min="513" max="513" width="54.59765625" style="48" customWidth="1"/>
    <col min="514" max="514" width="16.296875" style="48" customWidth="1"/>
    <col min="515" max="515" width="13.796875" style="48" customWidth="1"/>
    <col min="516" max="516" width="16.19921875" style="48" customWidth="1"/>
    <col min="517" max="517" width="14.796875" style="48" customWidth="1"/>
    <col min="518" max="518" width="16.296875" style="48" customWidth="1"/>
    <col min="519" max="519" width="13.59765625" style="48" customWidth="1"/>
    <col min="520" max="520" width="10" style="48" customWidth="1"/>
    <col min="521" max="521" width="13.59765625" style="48" customWidth="1"/>
    <col min="522" max="522" width="17.69921875" style="48" bestFit="1" customWidth="1"/>
    <col min="523" max="523" width="14.09765625" style="48" bestFit="1" customWidth="1"/>
    <col min="524" max="525" width="15.19921875" style="48" bestFit="1" customWidth="1"/>
    <col min="526" max="526" width="16.796875" style="48" bestFit="1" customWidth="1"/>
    <col min="527" max="527" width="12.796875" style="48" bestFit="1" customWidth="1"/>
    <col min="528" max="528" width="11.69921875" style="48" customWidth="1"/>
    <col min="529" max="529" width="14.296875" style="48" bestFit="1" customWidth="1"/>
    <col min="530" max="531" width="13.09765625" style="48" bestFit="1" customWidth="1"/>
    <col min="532" max="532" width="13.796875" style="48" customWidth="1"/>
    <col min="533" max="533" width="14.3984375" style="48" bestFit="1" customWidth="1"/>
    <col min="534" max="534" width="8.09765625" style="48" customWidth="1"/>
    <col min="535" max="768" width="8.19921875" style="48"/>
    <col min="769" max="769" width="54.59765625" style="48" customWidth="1"/>
    <col min="770" max="770" width="16.296875" style="48" customWidth="1"/>
    <col min="771" max="771" width="13.796875" style="48" customWidth="1"/>
    <col min="772" max="772" width="16.19921875" style="48" customWidth="1"/>
    <col min="773" max="773" width="14.796875" style="48" customWidth="1"/>
    <col min="774" max="774" width="16.296875" style="48" customWidth="1"/>
    <col min="775" max="775" width="13.59765625" style="48" customWidth="1"/>
    <col min="776" max="776" width="10" style="48" customWidth="1"/>
    <col min="777" max="777" width="13.59765625" style="48" customWidth="1"/>
    <col min="778" max="778" width="17.69921875" style="48" bestFit="1" customWidth="1"/>
    <col min="779" max="779" width="14.09765625" style="48" bestFit="1" customWidth="1"/>
    <col min="780" max="781" width="15.19921875" style="48" bestFit="1" customWidth="1"/>
    <col min="782" max="782" width="16.796875" style="48" bestFit="1" customWidth="1"/>
    <col min="783" max="783" width="12.796875" style="48" bestFit="1" customWidth="1"/>
    <col min="784" max="784" width="11.69921875" style="48" customWidth="1"/>
    <col min="785" max="785" width="14.296875" style="48" bestFit="1" customWidth="1"/>
    <col min="786" max="787" width="13.09765625" style="48" bestFit="1" customWidth="1"/>
    <col min="788" max="788" width="13.796875" style="48" customWidth="1"/>
    <col min="789" max="789" width="14.3984375" style="48" bestFit="1" customWidth="1"/>
    <col min="790" max="790" width="8.09765625" style="48" customWidth="1"/>
    <col min="791" max="1024" width="8.19921875" style="48"/>
    <col min="1025" max="1025" width="54.59765625" style="48" customWidth="1"/>
    <col min="1026" max="1026" width="16.296875" style="48" customWidth="1"/>
    <col min="1027" max="1027" width="13.796875" style="48" customWidth="1"/>
    <col min="1028" max="1028" width="16.19921875" style="48" customWidth="1"/>
    <col min="1029" max="1029" width="14.796875" style="48" customWidth="1"/>
    <col min="1030" max="1030" width="16.296875" style="48" customWidth="1"/>
    <col min="1031" max="1031" width="13.59765625" style="48" customWidth="1"/>
    <col min="1032" max="1032" width="10" style="48" customWidth="1"/>
    <col min="1033" max="1033" width="13.59765625" style="48" customWidth="1"/>
    <col min="1034" max="1034" width="17.69921875" style="48" bestFit="1" customWidth="1"/>
    <col min="1035" max="1035" width="14.09765625" style="48" bestFit="1" customWidth="1"/>
    <col min="1036" max="1037" width="15.19921875" style="48" bestFit="1" customWidth="1"/>
    <col min="1038" max="1038" width="16.796875" style="48" bestFit="1" customWidth="1"/>
    <col min="1039" max="1039" width="12.796875" style="48" bestFit="1" customWidth="1"/>
    <col min="1040" max="1040" width="11.69921875" style="48" customWidth="1"/>
    <col min="1041" max="1041" width="14.296875" style="48" bestFit="1" customWidth="1"/>
    <col min="1042" max="1043" width="13.09765625" style="48" bestFit="1" customWidth="1"/>
    <col min="1044" max="1044" width="13.796875" style="48" customWidth="1"/>
    <col min="1045" max="1045" width="14.3984375" style="48" bestFit="1" customWidth="1"/>
    <col min="1046" max="1046" width="8.09765625" style="48" customWidth="1"/>
    <col min="1047" max="1280" width="8.19921875" style="48"/>
    <col min="1281" max="1281" width="54.59765625" style="48" customWidth="1"/>
    <col min="1282" max="1282" width="16.296875" style="48" customWidth="1"/>
    <col min="1283" max="1283" width="13.796875" style="48" customWidth="1"/>
    <col min="1284" max="1284" width="16.19921875" style="48" customWidth="1"/>
    <col min="1285" max="1285" width="14.796875" style="48" customWidth="1"/>
    <col min="1286" max="1286" width="16.296875" style="48" customWidth="1"/>
    <col min="1287" max="1287" width="13.59765625" style="48" customWidth="1"/>
    <col min="1288" max="1288" width="10" style="48" customWidth="1"/>
    <col min="1289" max="1289" width="13.59765625" style="48" customWidth="1"/>
    <col min="1290" max="1290" width="17.69921875" style="48" bestFit="1" customWidth="1"/>
    <col min="1291" max="1291" width="14.09765625" style="48" bestFit="1" customWidth="1"/>
    <col min="1292" max="1293" width="15.19921875" style="48" bestFit="1" customWidth="1"/>
    <col min="1294" max="1294" width="16.796875" style="48" bestFit="1" customWidth="1"/>
    <col min="1295" max="1295" width="12.796875" style="48" bestFit="1" customWidth="1"/>
    <col min="1296" max="1296" width="11.69921875" style="48" customWidth="1"/>
    <col min="1297" max="1297" width="14.296875" style="48" bestFit="1" customWidth="1"/>
    <col min="1298" max="1299" width="13.09765625" style="48" bestFit="1" customWidth="1"/>
    <col min="1300" max="1300" width="13.796875" style="48" customWidth="1"/>
    <col min="1301" max="1301" width="14.3984375" style="48" bestFit="1" customWidth="1"/>
    <col min="1302" max="1302" width="8.09765625" style="48" customWidth="1"/>
    <col min="1303" max="1536" width="8.19921875" style="48"/>
    <col min="1537" max="1537" width="54.59765625" style="48" customWidth="1"/>
    <col min="1538" max="1538" width="16.296875" style="48" customWidth="1"/>
    <col min="1539" max="1539" width="13.796875" style="48" customWidth="1"/>
    <col min="1540" max="1540" width="16.19921875" style="48" customWidth="1"/>
    <col min="1541" max="1541" width="14.796875" style="48" customWidth="1"/>
    <col min="1542" max="1542" width="16.296875" style="48" customWidth="1"/>
    <col min="1543" max="1543" width="13.59765625" style="48" customWidth="1"/>
    <col min="1544" max="1544" width="10" style="48" customWidth="1"/>
    <col min="1545" max="1545" width="13.59765625" style="48" customWidth="1"/>
    <col min="1546" max="1546" width="17.69921875" style="48" bestFit="1" customWidth="1"/>
    <col min="1547" max="1547" width="14.09765625" style="48" bestFit="1" customWidth="1"/>
    <col min="1548" max="1549" width="15.19921875" style="48" bestFit="1" customWidth="1"/>
    <col min="1550" max="1550" width="16.796875" style="48" bestFit="1" customWidth="1"/>
    <col min="1551" max="1551" width="12.796875" style="48" bestFit="1" customWidth="1"/>
    <col min="1552" max="1552" width="11.69921875" style="48" customWidth="1"/>
    <col min="1553" max="1553" width="14.296875" style="48" bestFit="1" customWidth="1"/>
    <col min="1554" max="1555" width="13.09765625" style="48" bestFit="1" customWidth="1"/>
    <col min="1556" max="1556" width="13.796875" style="48" customWidth="1"/>
    <col min="1557" max="1557" width="14.3984375" style="48" bestFit="1" customWidth="1"/>
    <col min="1558" max="1558" width="8.09765625" style="48" customWidth="1"/>
    <col min="1559" max="1792" width="8.19921875" style="48"/>
    <col min="1793" max="1793" width="54.59765625" style="48" customWidth="1"/>
    <col min="1794" max="1794" width="16.296875" style="48" customWidth="1"/>
    <col min="1795" max="1795" width="13.796875" style="48" customWidth="1"/>
    <col min="1796" max="1796" width="16.19921875" style="48" customWidth="1"/>
    <col min="1797" max="1797" width="14.796875" style="48" customWidth="1"/>
    <col min="1798" max="1798" width="16.296875" style="48" customWidth="1"/>
    <col min="1799" max="1799" width="13.59765625" style="48" customWidth="1"/>
    <col min="1800" max="1800" width="10" style="48" customWidth="1"/>
    <col min="1801" max="1801" width="13.59765625" style="48" customWidth="1"/>
    <col min="1802" max="1802" width="17.69921875" style="48" bestFit="1" customWidth="1"/>
    <col min="1803" max="1803" width="14.09765625" style="48" bestFit="1" customWidth="1"/>
    <col min="1804" max="1805" width="15.19921875" style="48" bestFit="1" customWidth="1"/>
    <col min="1806" max="1806" width="16.796875" style="48" bestFit="1" customWidth="1"/>
    <col min="1807" max="1807" width="12.796875" style="48" bestFit="1" customWidth="1"/>
    <col min="1808" max="1808" width="11.69921875" style="48" customWidth="1"/>
    <col min="1809" max="1809" width="14.296875" style="48" bestFit="1" customWidth="1"/>
    <col min="1810" max="1811" width="13.09765625" style="48" bestFit="1" customWidth="1"/>
    <col min="1812" max="1812" width="13.796875" style="48" customWidth="1"/>
    <col min="1813" max="1813" width="14.3984375" style="48" bestFit="1" customWidth="1"/>
    <col min="1814" max="1814" width="8.09765625" style="48" customWidth="1"/>
    <col min="1815" max="2048" width="8.19921875" style="48"/>
    <col min="2049" max="2049" width="54.59765625" style="48" customWidth="1"/>
    <col min="2050" max="2050" width="16.296875" style="48" customWidth="1"/>
    <col min="2051" max="2051" width="13.796875" style="48" customWidth="1"/>
    <col min="2052" max="2052" width="16.19921875" style="48" customWidth="1"/>
    <col min="2053" max="2053" width="14.796875" style="48" customWidth="1"/>
    <col min="2054" max="2054" width="16.296875" style="48" customWidth="1"/>
    <col min="2055" max="2055" width="13.59765625" style="48" customWidth="1"/>
    <col min="2056" max="2056" width="10" style="48" customWidth="1"/>
    <col min="2057" max="2057" width="13.59765625" style="48" customWidth="1"/>
    <col min="2058" max="2058" width="17.69921875" style="48" bestFit="1" customWidth="1"/>
    <col min="2059" max="2059" width="14.09765625" style="48" bestFit="1" customWidth="1"/>
    <col min="2060" max="2061" width="15.19921875" style="48" bestFit="1" customWidth="1"/>
    <col min="2062" max="2062" width="16.796875" style="48" bestFit="1" customWidth="1"/>
    <col min="2063" max="2063" width="12.796875" style="48" bestFit="1" customWidth="1"/>
    <col min="2064" max="2064" width="11.69921875" style="48" customWidth="1"/>
    <col min="2065" max="2065" width="14.296875" style="48" bestFit="1" customWidth="1"/>
    <col min="2066" max="2067" width="13.09765625" style="48" bestFit="1" customWidth="1"/>
    <col min="2068" max="2068" width="13.796875" style="48" customWidth="1"/>
    <col min="2069" max="2069" width="14.3984375" style="48" bestFit="1" customWidth="1"/>
    <col min="2070" max="2070" width="8.09765625" style="48" customWidth="1"/>
    <col min="2071" max="2304" width="8.19921875" style="48"/>
    <col min="2305" max="2305" width="54.59765625" style="48" customWidth="1"/>
    <col min="2306" max="2306" width="16.296875" style="48" customWidth="1"/>
    <col min="2307" max="2307" width="13.796875" style="48" customWidth="1"/>
    <col min="2308" max="2308" width="16.19921875" style="48" customWidth="1"/>
    <col min="2309" max="2309" width="14.796875" style="48" customWidth="1"/>
    <col min="2310" max="2310" width="16.296875" style="48" customWidth="1"/>
    <col min="2311" max="2311" width="13.59765625" style="48" customWidth="1"/>
    <col min="2312" max="2312" width="10" style="48" customWidth="1"/>
    <col min="2313" max="2313" width="13.59765625" style="48" customWidth="1"/>
    <col min="2314" max="2314" width="17.69921875" style="48" bestFit="1" customWidth="1"/>
    <col min="2315" max="2315" width="14.09765625" style="48" bestFit="1" customWidth="1"/>
    <col min="2316" max="2317" width="15.19921875" style="48" bestFit="1" customWidth="1"/>
    <col min="2318" max="2318" width="16.796875" style="48" bestFit="1" customWidth="1"/>
    <col min="2319" max="2319" width="12.796875" style="48" bestFit="1" customWidth="1"/>
    <col min="2320" max="2320" width="11.69921875" style="48" customWidth="1"/>
    <col min="2321" max="2321" width="14.296875" style="48" bestFit="1" customWidth="1"/>
    <col min="2322" max="2323" width="13.09765625" style="48" bestFit="1" customWidth="1"/>
    <col min="2324" max="2324" width="13.796875" style="48" customWidth="1"/>
    <col min="2325" max="2325" width="14.3984375" style="48" bestFit="1" customWidth="1"/>
    <col min="2326" max="2326" width="8.09765625" style="48" customWidth="1"/>
    <col min="2327" max="2560" width="8.19921875" style="48"/>
    <col min="2561" max="2561" width="54.59765625" style="48" customWidth="1"/>
    <col min="2562" max="2562" width="16.296875" style="48" customWidth="1"/>
    <col min="2563" max="2563" width="13.796875" style="48" customWidth="1"/>
    <col min="2564" max="2564" width="16.19921875" style="48" customWidth="1"/>
    <col min="2565" max="2565" width="14.796875" style="48" customWidth="1"/>
    <col min="2566" max="2566" width="16.296875" style="48" customWidth="1"/>
    <col min="2567" max="2567" width="13.59765625" style="48" customWidth="1"/>
    <col min="2568" max="2568" width="10" style="48" customWidth="1"/>
    <col min="2569" max="2569" width="13.59765625" style="48" customWidth="1"/>
    <col min="2570" max="2570" width="17.69921875" style="48" bestFit="1" customWidth="1"/>
    <col min="2571" max="2571" width="14.09765625" style="48" bestFit="1" customWidth="1"/>
    <col min="2572" max="2573" width="15.19921875" style="48" bestFit="1" customWidth="1"/>
    <col min="2574" max="2574" width="16.796875" style="48" bestFit="1" customWidth="1"/>
    <col min="2575" max="2575" width="12.796875" style="48" bestFit="1" customWidth="1"/>
    <col min="2576" max="2576" width="11.69921875" style="48" customWidth="1"/>
    <col min="2577" max="2577" width="14.296875" style="48" bestFit="1" customWidth="1"/>
    <col min="2578" max="2579" width="13.09765625" style="48" bestFit="1" customWidth="1"/>
    <col min="2580" max="2580" width="13.796875" style="48" customWidth="1"/>
    <col min="2581" max="2581" width="14.3984375" style="48" bestFit="1" customWidth="1"/>
    <col min="2582" max="2582" width="8.09765625" style="48" customWidth="1"/>
    <col min="2583" max="2816" width="8.19921875" style="48"/>
    <col min="2817" max="2817" width="54.59765625" style="48" customWidth="1"/>
    <col min="2818" max="2818" width="16.296875" style="48" customWidth="1"/>
    <col min="2819" max="2819" width="13.796875" style="48" customWidth="1"/>
    <col min="2820" max="2820" width="16.19921875" style="48" customWidth="1"/>
    <col min="2821" max="2821" width="14.796875" style="48" customWidth="1"/>
    <col min="2822" max="2822" width="16.296875" style="48" customWidth="1"/>
    <col min="2823" max="2823" width="13.59765625" style="48" customWidth="1"/>
    <col min="2824" max="2824" width="10" style="48" customWidth="1"/>
    <col min="2825" max="2825" width="13.59765625" style="48" customWidth="1"/>
    <col min="2826" max="2826" width="17.69921875" style="48" bestFit="1" customWidth="1"/>
    <col min="2827" max="2827" width="14.09765625" style="48" bestFit="1" customWidth="1"/>
    <col min="2828" max="2829" width="15.19921875" style="48" bestFit="1" customWidth="1"/>
    <col min="2830" max="2830" width="16.796875" style="48" bestFit="1" customWidth="1"/>
    <col min="2831" max="2831" width="12.796875" style="48" bestFit="1" customWidth="1"/>
    <col min="2832" max="2832" width="11.69921875" style="48" customWidth="1"/>
    <col min="2833" max="2833" width="14.296875" style="48" bestFit="1" customWidth="1"/>
    <col min="2834" max="2835" width="13.09765625" style="48" bestFit="1" customWidth="1"/>
    <col min="2836" max="2836" width="13.796875" style="48" customWidth="1"/>
    <col min="2837" max="2837" width="14.3984375" style="48" bestFit="1" customWidth="1"/>
    <col min="2838" max="2838" width="8.09765625" style="48" customWidth="1"/>
    <col min="2839" max="3072" width="8.19921875" style="48"/>
    <col min="3073" max="3073" width="54.59765625" style="48" customWidth="1"/>
    <col min="3074" max="3074" width="16.296875" style="48" customWidth="1"/>
    <col min="3075" max="3075" width="13.796875" style="48" customWidth="1"/>
    <col min="3076" max="3076" width="16.19921875" style="48" customWidth="1"/>
    <col min="3077" max="3077" width="14.796875" style="48" customWidth="1"/>
    <col min="3078" max="3078" width="16.296875" style="48" customWidth="1"/>
    <col min="3079" max="3079" width="13.59765625" style="48" customWidth="1"/>
    <col min="3080" max="3080" width="10" style="48" customWidth="1"/>
    <col min="3081" max="3081" width="13.59765625" style="48" customWidth="1"/>
    <col min="3082" max="3082" width="17.69921875" style="48" bestFit="1" customWidth="1"/>
    <col min="3083" max="3083" width="14.09765625" style="48" bestFit="1" customWidth="1"/>
    <col min="3084" max="3085" width="15.19921875" style="48" bestFit="1" customWidth="1"/>
    <col min="3086" max="3086" width="16.796875" style="48" bestFit="1" customWidth="1"/>
    <col min="3087" max="3087" width="12.796875" style="48" bestFit="1" customWidth="1"/>
    <col min="3088" max="3088" width="11.69921875" style="48" customWidth="1"/>
    <col min="3089" max="3089" width="14.296875" style="48" bestFit="1" customWidth="1"/>
    <col min="3090" max="3091" width="13.09765625" style="48" bestFit="1" customWidth="1"/>
    <col min="3092" max="3092" width="13.796875" style="48" customWidth="1"/>
    <col min="3093" max="3093" width="14.3984375" style="48" bestFit="1" customWidth="1"/>
    <col min="3094" max="3094" width="8.09765625" style="48" customWidth="1"/>
    <col min="3095" max="3328" width="8.19921875" style="48"/>
    <col min="3329" max="3329" width="54.59765625" style="48" customWidth="1"/>
    <col min="3330" max="3330" width="16.296875" style="48" customWidth="1"/>
    <col min="3331" max="3331" width="13.796875" style="48" customWidth="1"/>
    <col min="3332" max="3332" width="16.19921875" style="48" customWidth="1"/>
    <col min="3333" max="3333" width="14.796875" style="48" customWidth="1"/>
    <col min="3334" max="3334" width="16.296875" style="48" customWidth="1"/>
    <col min="3335" max="3335" width="13.59765625" style="48" customWidth="1"/>
    <col min="3336" max="3336" width="10" style="48" customWidth="1"/>
    <col min="3337" max="3337" width="13.59765625" style="48" customWidth="1"/>
    <col min="3338" max="3338" width="17.69921875" style="48" bestFit="1" customWidth="1"/>
    <col min="3339" max="3339" width="14.09765625" style="48" bestFit="1" customWidth="1"/>
    <col min="3340" max="3341" width="15.19921875" style="48" bestFit="1" customWidth="1"/>
    <col min="3342" max="3342" width="16.796875" style="48" bestFit="1" customWidth="1"/>
    <col min="3343" max="3343" width="12.796875" style="48" bestFit="1" customWidth="1"/>
    <col min="3344" max="3344" width="11.69921875" style="48" customWidth="1"/>
    <col min="3345" max="3345" width="14.296875" style="48" bestFit="1" customWidth="1"/>
    <col min="3346" max="3347" width="13.09765625" style="48" bestFit="1" customWidth="1"/>
    <col min="3348" max="3348" width="13.796875" style="48" customWidth="1"/>
    <col min="3349" max="3349" width="14.3984375" style="48" bestFit="1" customWidth="1"/>
    <col min="3350" max="3350" width="8.09765625" style="48" customWidth="1"/>
    <col min="3351" max="3584" width="8.19921875" style="48"/>
    <col min="3585" max="3585" width="54.59765625" style="48" customWidth="1"/>
    <col min="3586" max="3586" width="16.296875" style="48" customWidth="1"/>
    <col min="3587" max="3587" width="13.796875" style="48" customWidth="1"/>
    <col min="3588" max="3588" width="16.19921875" style="48" customWidth="1"/>
    <col min="3589" max="3589" width="14.796875" style="48" customWidth="1"/>
    <col min="3590" max="3590" width="16.296875" style="48" customWidth="1"/>
    <col min="3591" max="3591" width="13.59765625" style="48" customWidth="1"/>
    <col min="3592" max="3592" width="10" style="48" customWidth="1"/>
    <col min="3593" max="3593" width="13.59765625" style="48" customWidth="1"/>
    <col min="3594" max="3594" width="17.69921875" style="48" bestFit="1" customWidth="1"/>
    <col min="3595" max="3595" width="14.09765625" style="48" bestFit="1" customWidth="1"/>
    <col min="3596" max="3597" width="15.19921875" style="48" bestFit="1" customWidth="1"/>
    <col min="3598" max="3598" width="16.796875" style="48" bestFit="1" customWidth="1"/>
    <col min="3599" max="3599" width="12.796875" style="48" bestFit="1" customWidth="1"/>
    <col min="3600" max="3600" width="11.69921875" style="48" customWidth="1"/>
    <col min="3601" max="3601" width="14.296875" style="48" bestFit="1" customWidth="1"/>
    <col min="3602" max="3603" width="13.09765625" style="48" bestFit="1" customWidth="1"/>
    <col min="3604" max="3604" width="13.796875" style="48" customWidth="1"/>
    <col min="3605" max="3605" width="14.3984375" style="48" bestFit="1" customWidth="1"/>
    <col min="3606" max="3606" width="8.09765625" style="48" customWidth="1"/>
    <col min="3607" max="3840" width="8.19921875" style="48"/>
    <col min="3841" max="3841" width="54.59765625" style="48" customWidth="1"/>
    <col min="3842" max="3842" width="16.296875" style="48" customWidth="1"/>
    <col min="3843" max="3843" width="13.796875" style="48" customWidth="1"/>
    <col min="3844" max="3844" width="16.19921875" style="48" customWidth="1"/>
    <col min="3845" max="3845" width="14.796875" style="48" customWidth="1"/>
    <col min="3846" max="3846" width="16.296875" style="48" customWidth="1"/>
    <col min="3847" max="3847" width="13.59765625" style="48" customWidth="1"/>
    <col min="3848" max="3848" width="10" style="48" customWidth="1"/>
    <col min="3849" max="3849" width="13.59765625" style="48" customWidth="1"/>
    <col min="3850" max="3850" width="17.69921875" style="48" bestFit="1" customWidth="1"/>
    <col min="3851" max="3851" width="14.09765625" style="48" bestFit="1" customWidth="1"/>
    <col min="3852" max="3853" width="15.19921875" style="48" bestFit="1" customWidth="1"/>
    <col min="3854" max="3854" width="16.796875" style="48" bestFit="1" customWidth="1"/>
    <col min="3855" max="3855" width="12.796875" style="48" bestFit="1" customWidth="1"/>
    <col min="3856" max="3856" width="11.69921875" style="48" customWidth="1"/>
    <col min="3857" max="3857" width="14.296875" style="48" bestFit="1" customWidth="1"/>
    <col min="3858" max="3859" width="13.09765625" style="48" bestFit="1" customWidth="1"/>
    <col min="3860" max="3860" width="13.796875" style="48" customWidth="1"/>
    <col min="3861" max="3861" width="14.3984375" style="48" bestFit="1" customWidth="1"/>
    <col min="3862" max="3862" width="8.09765625" style="48" customWidth="1"/>
    <col min="3863" max="4096" width="8.19921875" style="48"/>
    <col min="4097" max="4097" width="54.59765625" style="48" customWidth="1"/>
    <col min="4098" max="4098" width="16.296875" style="48" customWidth="1"/>
    <col min="4099" max="4099" width="13.796875" style="48" customWidth="1"/>
    <col min="4100" max="4100" width="16.19921875" style="48" customWidth="1"/>
    <col min="4101" max="4101" width="14.796875" style="48" customWidth="1"/>
    <col min="4102" max="4102" width="16.296875" style="48" customWidth="1"/>
    <col min="4103" max="4103" width="13.59765625" style="48" customWidth="1"/>
    <col min="4104" max="4104" width="10" style="48" customWidth="1"/>
    <col min="4105" max="4105" width="13.59765625" style="48" customWidth="1"/>
    <col min="4106" max="4106" width="17.69921875" style="48" bestFit="1" customWidth="1"/>
    <col min="4107" max="4107" width="14.09765625" style="48" bestFit="1" customWidth="1"/>
    <col min="4108" max="4109" width="15.19921875" style="48" bestFit="1" customWidth="1"/>
    <col min="4110" max="4110" width="16.796875" style="48" bestFit="1" customWidth="1"/>
    <col min="4111" max="4111" width="12.796875" style="48" bestFit="1" customWidth="1"/>
    <col min="4112" max="4112" width="11.69921875" style="48" customWidth="1"/>
    <col min="4113" max="4113" width="14.296875" style="48" bestFit="1" customWidth="1"/>
    <col min="4114" max="4115" width="13.09765625" style="48" bestFit="1" customWidth="1"/>
    <col min="4116" max="4116" width="13.796875" style="48" customWidth="1"/>
    <col min="4117" max="4117" width="14.3984375" style="48" bestFit="1" customWidth="1"/>
    <col min="4118" max="4118" width="8.09765625" style="48" customWidth="1"/>
    <col min="4119" max="4352" width="8.19921875" style="48"/>
    <col min="4353" max="4353" width="54.59765625" style="48" customWidth="1"/>
    <col min="4354" max="4354" width="16.296875" style="48" customWidth="1"/>
    <col min="4355" max="4355" width="13.796875" style="48" customWidth="1"/>
    <col min="4356" max="4356" width="16.19921875" style="48" customWidth="1"/>
    <col min="4357" max="4357" width="14.796875" style="48" customWidth="1"/>
    <col min="4358" max="4358" width="16.296875" style="48" customWidth="1"/>
    <col min="4359" max="4359" width="13.59765625" style="48" customWidth="1"/>
    <col min="4360" max="4360" width="10" style="48" customWidth="1"/>
    <col min="4361" max="4361" width="13.59765625" style="48" customWidth="1"/>
    <col min="4362" max="4362" width="17.69921875" style="48" bestFit="1" customWidth="1"/>
    <col min="4363" max="4363" width="14.09765625" style="48" bestFit="1" customWidth="1"/>
    <col min="4364" max="4365" width="15.19921875" style="48" bestFit="1" customWidth="1"/>
    <col min="4366" max="4366" width="16.796875" style="48" bestFit="1" customWidth="1"/>
    <col min="4367" max="4367" width="12.796875" style="48" bestFit="1" customWidth="1"/>
    <col min="4368" max="4368" width="11.69921875" style="48" customWidth="1"/>
    <col min="4369" max="4369" width="14.296875" style="48" bestFit="1" customWidth="1"/>
    <col min="4370" max="4371" width="13.09765625" style="48" bestFit="1" customWidth="1"/>
    <col min="4372" max="4372" width="13.796875" style="48" customWidth="1"/>
    <col min="4373" max="4373" width="14.3984375" style="48" bestFit="1" customWidth="1"/>
    <col min="4374" max="4374" width="8.09765625" style="48" customWidth="1"/>
    <col min="4375" max="4608" width="8.19921875" style="48"/>
    <col min="4609" max="4609" width="54.59765625" style="48" customWidth="1"/>
    <col min="4610" max="4610" width="16.296875" style="48" customWidth="1"/>
    <col min="4611" max="4611" width="13.796875" style="48" customWidth="1"/>
    <col min="4612" max="4612" width="16.19921875" style="48" customWidth="1"/>
    <col min="4613" max="4613" width="14.796875" style="48" customWidth="1"/>
    <col min="4614" max="4614" width="16.296875" style="48" customWidth="1"/>
    <col min="4615" max="4615" width="13.59765625" style="48" customWidth="1"/>
    <col min="4616" max="4616" width="10" style="48" customWidth="1"/>
    <col min="4617" max="4617" width="13.59765625" style="48" customWidth="1"/>
    <col min="4618" max="4618" width="17.69921875" style="48" bestFit="1" customWidth="1"/>
    <col min="4619" max="4619" width="14.09765625" style="48" bestFit="1" customWidth="1"/>
    <col min="4620" max="4621" width="15.19921875" style="48" bestFit="1" customWidth="1"/>
    <col min="4622" max="4622" width="16.796875" style="48" bestFit="1" customWidth="1"/>
    <col min="4623" max="4623" width="12.796875" style="48" bestFit="1" customWidth="1"/>
    <col min="4624" max="4624" width="11.69921875" style="48" customWidth="1"/>
    <col min="4625" max="4625" width="14.296875" style="48" bestFit="1" customWidth="1"/>
    <col min="4626" max="4627" width="13.09765625" style="48" bestFit="1" customWidth="1"/>
    <col min="4628" max="4628" width="13.796875" style="48" customWidth="1"/>
    <col min="4629" max="4629" width="14.3984375" style="48" bestFit="1" customWidth="1"/>
    <col min="4630" max="4630" width="8.09765625" style="48" customWidth="1"/>
    <col min="4631" max="4864" width="8.19921875" style="48"/>
    <col min="4865" max="4865" width="54.59765625" style="48" customWidth="1"/>
    <col min="4866" max="4866" width="16.296875" style="48" customWidth="1"/>
    <col min="4867" max="4867" width="13.796875" style="48" customWidth="1"/>
    <col min="4868" max="4868" width="16.19921875" style="48" customWidth="1"/>
    <col min="4869" max="4869" width="14.796875" style="48" customWidth="1"/>
    <col min="4870" max="4870" width="16.296875" style="48" customWidth="1"/>
    <col min="4871" max="4871" width="13.59765625" style="48" customWidth="1"/>
    <col min="4872" max="4872" width="10" style="48" customWidth="1"/>
    <col min="4873" max="4873" width="13.59765625" style="48" customWidth="1"/>
    <col min="4874" max="4874" width="17.69921875" style="48" bestFit="1" customWidth="1"/>
    <col min="4875" max="4875" width="14.09765625" style="48" bestFit="1" customWidth="1"/>
    <col min="4876" max="4877" width="15.19921875" style="48" bestFit="1" customWidth="1"/>
    <col min="4878" max="4878" width="16.796875" style="48" bestFit="1" customWidth="1"/>
    <col min="4879" max="4879" width="12.796875" style="48" bestFit="1" customWidth="1"/>
    <col min="4880" max="4880" width="11.69921875" style="48" customWidth="1"/>
    <col min="4881" max="4881" width="14.296875" style="48" bestFit="1" customWidth="1"/>
    <col min="4882" max="4883" width="13.09765625" style="48" bestFit="1" customWidth="1"/>
    <col min="4884" max="4884" width="13.796875" style="48" customWidth="1"/>
    <col min="4885" max="4885" width="14.3984375" style="48" bestFit="1" customWidth="1"/>
    <col min="4886" max="4886" width="8.09765625" style="48" customWidth="1"/>
    <col min="4887" max="5120" width="8.19921875" style="48"/>
    <col min="5121" max="5121" width="54.59765625" style="48" customWidth="1"/>
    <col min="5122" max="5122" width="16.296875" style="48" customWidth="1"/>
    <col min="5123" max="5123" width="13.796875" style="48" customWidth="1"/>
    <col min="5124" max="5124" width="16.19921875" style="48" customWidth="1"/>
    <col min="5125" max="5125" width="14.796875" style="48" customWidth="1"/>
    <col min="5126" max="5126" width="16.296875" style="48" customWidth="1"/>
    <col min="5127" max="5127" width="13.59765625" style="48" customWidth="1"/>
    <col min="5128" max="5128" width="10" style="48" customWidth="1"/>
    <col min="5129" max="5129" width="13.59765625" style="48" customWidth="1"/>
    <col min="5130" max="5130" width="17.69921875" style="48" bestFit="1" customWidth="1"/>
    <col min="5131" max="5131" width="14.09765625" style="48" bestFit="1" customWidth="1"/>
    <col min="5132" max="5133" width="15.19921875" style="48" bestFit="1" customWidth="1"/>
    <col min="5134" max="5134" width="16.796875" style="48" bestFit="1" customWidth="1"/>
    <col min="5135" max="5135" width="12.796875" style="48" bestFit="1" customWidth="1"/>
    <col min="5136" max="5136" width="11.69921875" style="48" customWidth="1"/>
    <col min="5137" max="5137" width="14.296875" style="48" bestFit="1" customWidth="1"/>
    <col min="5138" max="5139" width="13.09765625" style="48" bestFit="1" customWidth="1"/>
    <col min="5140" max="5140" width="13.796875" style="48" customWidth="1"/>
    <col min="5141" max="5141" width="14.3984375" style="48" bestFit="1" customWidth="1"/>
    <col min="5142" max="5142" width="8.09765625" style="48" customWidth="1"/>
    <col min="5143" max="5376" width="8.19921875" style="48"/>
    <col min="5377" max="5377" width="54.59765625" style="48" customWidth="1"/>
    <col min="5378" max="5378" width="16.296875" style="48" customWidth="1"/>
    <col min="5379" max="5379" width="13.796875" style="48" customWidth="1"/>
    <col min="5380" max="5380" width="16.19921875" style="48" customWidth="1"/>
    <col min="5381" max="5381" width="14.796875" style="48" customWidth="1"/>
    <col min="5382" max="5382" width="16.296875" style="48" customWidth="1"/>
    <col min="5383" max="5383" width="13.59765625" style="48" customWidth="1"/>
    <col min="5384" max="5384" width="10" style="48" customWidth="1"/>
    <col min="5385" max="5385" width="13.59765625" style="48" customWidth="1"/>
    <col min="5386" max="5386" width="17.69921875" style="48" bestFit="1" customWidth="1"/>
    <col min="5387" max="5387" width="14.09765625" style="48" bestFit="1" customWidth="1"/>
    <col min="5388" max="5389" width="15.19921875" style="48" bestFit="1" customWidth="1"/>
    <col min="5390" max="5390" width="16.796875" style="48" bestFit="1" customWidth="1"/>
    <col min="5391" max="5391" width="12.796875" style="48" bestFit="1" customWidth="1"/>
    <col min="5392" max="5392" width="11.69921875" style="48" customWidth="1"/>
    <col min="5393" max="5393" width="14.296875" style="48" bestFit="1" customWidth="1"/>
    <col min="5394" max="5395" width="13.09765625" style="48" bestFit="1" customWidth="1"/>
    <col min="5396" max="5396" width="13.796875" style="48" customWidth="1"/>
    <col min="5397" max="5397" width="14.3984375" style="48" bestFit="1" customWidth="1"/>
    <col min="5398" max="5398" width="8.09765625" style="48" customWidth="1"/>
    <col min="5399" max="5632" width="8.19921875" style="48"/>
    <col min="5633" max="5633" width="54.59765625" style="48" customWidth="1"/>
    <col min="5634" max="5634" width="16.296875" style="48" customWidth="1"/>
    <col min="5635" max="5635" width="13.796875" style="48" customWidth="1"/>
    <col min="5636" max="5636" width="16.19921875" style="48" customWidth="1"/>
    <col min="5637" max="5637" width="14.796875" style="48" customWidth="1"/>
    <col min="5638" max="5638" width="16.296875" style="48" customWidth="1"/>
    <col min="5639" max="5639" width="13.59765625" style="48" customWidth="1"/>
    <col min="5640" max="5640" width="10" style="48" customWidth="1"/>
    <col min="5641" max="5641" width="13.59765625" style="48" customWidth="1"/>
    <col min="5642" max="5642" width="17.69921875" style="48" bestFit="1" customWidth="1"/>
    <col min="5643" max="5643" width="14.09765625" style="48" bestFit="1" customWidth="1"/>
    <col min="5644" max="5645" width="15.19921875" style="48" bestFit="1" customWidth="1"/>
    <col min="5646" max="5646" width="16.796875" style="48" bestFit="1" customWidth="1"/>
    <col min="5647" max="5647" width="12.796875" style="48" bestFit="1" customWidth="1"/>
    <col min="5648" max="5648" width="11.69921875" style="48" customWidth="1"/>
    <col min="5649" max="5649" width="14.296875" style="48" bestFit="1" customWidth="1"/>
    <col min="5650" max="5651" width="13.09765625" style="48" bestFit="1" customWidth="1"/>
    <col min="5652" max="5652" width="13.796875" style="48" customWidth="1"/>
    <col min="5653" max="5653" width="14.3984375" style="48" bestFit="1" customWidth="1"/>
    <col min="5654" max="5654" width="8.09765625" style="48" customWidth="1"/>
    <col min="5655" max="5888" width="8.19921875" style="48"/>
    <col min="5889" max="5889" width="54.59765625" style="48" customWidth="1"/>
    <col min="5890" max="5890" width="16.296875" style="48" customWidth="1"/>
    <col min="5891" max="5891" width="13.796875" style="48" customWidth="1"/>
    <col min="5892" max="5892" width="16.19921875" style="48" customWidth="1"/>
    <col min="5893" max="5893" width="14.796875" style="48" customWidth="1"/>
    <col min="5894" max="5894" width="16.296875" style="48" customWidth="1"/>
    <col min="5895" max="5895" width="13.59765625" style="48" customWidth="1"/>
    <col min="5896" max="5896" width="10" style="48" customWidth="1"/>
    <col min="5897" max="5897" width="13.59765625" style="48" customWidth="1"/>
    <col min="5898" max="5898" width="17.69921875" style="48" bestFit="1" customWidth="1"/>
    <col min="5899" max="5899" width="14.09765625" style="48" bestFit="1" customWidth="1"/>
    <col min="5900" max="5901" width="15.19921875" style="48" bestFit="1" customWidth="1"/>
    <col min="5902" max="5902" width="16.796875" style="48" bestFit="1" customWidth="1"/>
    <col min="5903" max="5903" width="12.796875" style="48" bestFit="1" customWidth="1"/>
    <col min="5904" max="5904" width="11.69921875" style="48" customWidth="1"/>
    <col min="5905" max="5905" width="14.296875" style="48" bestFit="1" customWidth="1"/>
    <col min="5906" max="5907" width="13.09765625" style="48" bestFit="1" customWidth="1"/>
    <col min="5908" max="5908" width="13.796875" style="48" customWidth="1"/>
    <col min="5909" max="5909" width="14.3984375" style="48" bestFit="1" customWidth="1"/>
    <col min="5910" max="5910" width="8.09765625" style="48" customWidth="1"/>
    <col min="5911" max="6144" width="8.19921875" style="48"/>
    <col min="6145" max="6145" width="54.59765625" style="48" customWidth="1"/>
    <col min="6146" max="6146" width="16.296875" style="48" customWidth="1"/>
    <col min="6147" max="6147" width="13.796875" style="48" customWidth="1"/>
    <col min="6148" max="6148" width="16.19921875" style="48" customWidth="1"/>
    <col min="6149" max="6149" width="14.796875" style="48" customWidth="1"/>
    <col min="6150" max="6150" width="16.296875" style="48" customWidth="1"/>
    <col min="6151" max="6151" width="13.59765625" style="48" customWidth="1"/>
    <col min="6152" max="6152" width="10" style="48" customWidth="1"/>
    <col min="6153" max="6153" width="13.59765625" style="48" customWidth="1"/>
    <col min="6154" max="6154" width="17.69921875" style="48" bestFit="1" customWidth="1"/>
    <col min="6155" max="6155" width="14.09765625" style="48" bestFit="1" customWidth="1"/>
    <col min="6156" max="6157" width="15.19921875" style="48" bestFit="1" customWidth="1"/>
    <col min="6158" max="6158" width="16.796875" style="48" bestFit="1" customWidth="1"/>
    <col min="6159" max="6159" width="12.796875" style="48" bestFit="1" customWidth="1"/>
    <col min="6160" max="6160" width="11.69921875" style="48" customWidth="1"/>
    <col min="6161" max="6161" width="14.296875" style="48" bestFit="1" customWidth="1"/>
    <col min="6162" max="6163" width="13.09765625" style="48" bestFit="1" customWidth="1"/>
    <col min="6164" max="6164" width="13.796875" style="48" customWidth="1"/>
    <col min="6165" max="6165" width="14.3984375" style="48" bestFit="1" customWidth="1"/>
    <col min="6166" max="6166" width="8.09765625" style="48" customWidth="1"/>
    <col min="6167" max="6400" width="8.19921875" style="48"/>
    <col min="6401" max="6401" width="54.59765625" style="48" customWidth="1"/>
    <col min="6402" max="6402" width="16.296875" style="48" customWidth="1"/>
    <col min="6403" max="6403" width="13.796875" style="48" customWidth="1"/>
    <col min="6404" max="6404" width="16.19921875" style="48" customWidth="1"/>
    <col min="6405" max="6405" width="14.796875" style="48" customWidth="1"/>
    <col min="6406" max="6406" width="16.296875" style="48" customWidth="1"/>
    <col min="6407" max="6407" width="13.59765625" style="48" customWidth="1"/>
    <col min="6408" max="6408" width="10" style="48" customWidth="1"/>
    <col min="6409" max="6409" width="13.59765625" style="48" customWidth="1"/>
    <col min="6410" max="6410" width="17.69921875" style="48" bestFit="1" customWidth="1"/>
    <col min="6411" max="6411" width="14.09765625" style="48" bestFit="1" customWidth="1"/>
    <col min="6412" max="6413" width="15.19921875" style="48" bestFit="1" customWidth="1"/>
    <col min="6414" max="6414" width="16.796875" style="48" bestFit="1" customWidth="1"/>
    <col min="6415" max="6415" width="12.796875" style="48" bestFit="1" customWidth="1"/>
    <col min="6416" max="6416" width="11.69921875" style="48" customWidth="1"/>
    <col min="6417" max="6417" width="14.296875" style="48" bestFit="1" customWidth="1"/>
    <col min="6418" max="6419" width="13.09765625" style="48" bestFit="1" customWidth="1"/>
    <col min="6420" max="6420" width="13.796875" style="48" customWidth="1"/>
    <col min="6421" max="6421" width="14.3984375" style="48" bestFit="1" customWidth="1"/>
    <col min="6422" max="6422" width="8.09765625" style="48" customWidth="1"/>
    <col min="6423" max="6656" width="8.19921875" style="48"/>
    <col min="6657" max="6657" width="54.59765625" style="48" customWidth="1"/>
    <col min="6658" max="6658" width="16.296875" style="48" customWidth="1"/>
    <col min="6659" max="6659" width="13.796875" style="48" customWidth="1"/>
    <col min="6660" max="6660" width="16.19921875" style="48" customWidth="1"/>
    <col min="6661" max="6661" width="14.796875" style="48" customWidth="1"/>
    <col min="6662" max="6662" width="16.296875" style="48" customWidth="1"/>
    <col min="6663" max="6663" width="13.59765625" style="48" customWidth="1"/>
    <col min="6664" max="6664" width="10" style="48" customWidth="1"/>
    <col min="6665" max="6665" width="13.59765625" style="48" customWidth="1"/>
    <col min="6666" max="6666" width="17.69921875" style="48" bestFit="1" customWidth="1"/>
    <col min="6667" max="6667" width="14.09765625" style="48" bestFit="1" customWidth="1"/>
    <col min="6668" max="6669" width="15.19921875" style="48" bestFit="1" customWidth="1"/>
    <col min="6670" max="6670" width="16.796875" style="48" bestFit="1" customWidth="1"/>
    <col min="6671" max="6671" width="12.796875" style="48" bestFit="1" customWidth="1"/>
    <col min="6672" max="6672" width="11.69921875" style="48" customWidth="1"/>
    <col min="6673" max="6673" width="14.296875" style="48" bestFit="1" customWidth="1"/>
    <col min="6674" max="6675" width="13.09765625" style="48" bestFit="1" customWidth="1"/>
    <col min="6676" max="6676" width="13.796875" style="48" customWidth="1"/>
    <col min="6677" max="6677" width="14.3984375" style="48" bestFit="1" customWidth="1"/>
    <col min="6678" max="6678" width="8.09765625" style="48" customWidth="1"/>
    <col min="6679" max="6912" width="8.19921875" style="48"/>
    <col min="6913" max="6913" width="54.59765625" style="48" customWidth="1"/>
    <col min="6914" max="6914" width="16.296875" style="48" customWidth="1"/>
    <col min="6915" max="6915" width="13.796875" style="48" customWidth="1"/>
    <col min="6916" max="6916" width="16.19921875" style="48" customWidth="1"/>
    <col min="6917" max="6917" width="14.796875" style="48" customWidth="1"/>
    <col min="6918" max="6918" width="16.296875" style="48" customWidth="1"/>
    <col min="6919" max="6919" width="13.59765625" style="48" customWidth="1"/>
    <col min="6920" max="6920" width="10" style="48" customWidth="1"/>
    <col min="6921" max="6921" width="13.59765625" style="48" customWidth="1"/>
    <col min="6922" max="6922" width="17.69921875" style="48" bestFit="1" customWidth="1"/>
    <col min="6923" max="6923" width="14.09765625" style="48" bestFit="1" customWidth="1"/>
    <col min="6924" max="6925" width="15.19921875" style="48" bestFit="1" customWidth="1"/>
    <col min="6926" max="6926" width="16.796875" style="48" bestFit="1" customWidth="1"/>
    <col min="6927" max="6927" width="12.796875" style="48" bestFit="1" customWidth="1"/>
    <col min="6928" max="6928" width="11.69921875" style="48" customWidth="1"/>
    <col min="6929" max="6929" width="14.296875" style="48" bestFit="1" customWidth="1"/>
    <col min="6930" max="6931" width="13.09765625" style="48" bestFit="1" customWidth="1"/>
    <col min="6932" max="6932" width="13.796875" style="48" customWidth="1"/>
    <col min="6933" max="6933" width="14.3984375" style="48" bestFit="1" customWidth="1"/>
    <col min="6934" max="6934" width="8.09765625" style="48" customWidth="1"/>
    <col min="6935" max="7168" width="8.19921875" style="48"/>
    <col min="7169" max="7169" width="54.59765625" style="48" customWidth="1"/>
    <col min="7170" max="7170" width="16.296875" style="48" customWidth="1"/>
    <col min="7171" max="7171" width="13.796875" style="48" customWidth="1"/>
    <col min="7172" max="7172" width="16.19921875" style="48" customWidth="1"/>
    <col min="7173" max="7173" width="14.796875" style="48" customWidth="1"/>
    <col min="7174" max="7174" width="16.296875" style="48" customWidth="1"/>
    <col min="7175" max="7175" width="13.59765625" style="48" customWidth="1"/>
    <col min="7176" max="7176" width="10" style="48" customWidth="1"/>
    <col min="7177" max="7177" width="13.59765625" style="48" customWidth="1"/>
    <col min="7178" max="7178" width="17.69921875" style="48" bestFit="1" customWidth="1"/>
    <col min="7179" max="7179" width="14.09765625" style="48" bestFit="1" customWidth="1"/>
    <col min="7180" max="7181" width="15.19921875" style="48" bestFit="1" customWidth="1"/>
    <col min="7182" max="7182" width="16.796875" style="48" bestFit="1" customWidth="1"/>
    <col min="7183" max="7183" width="12.796875" style="48" bestFit="1" customWidth="1"/>
    <col min="7184" max="7184" width="11.69921875" style="48" customWidth="1"/>
    <col min="7185" max="7185" width="14.296875" style="48" bestFit="1" customWidth="1"/>
    <col min="7186" max="7187" width="13.09765625" style="48" bestFit="1" customWidth="1"/>
    <col min="7188" max="7188" width="13.796875" style="48" customWidth="1"/>
    <col min="7189" max="7189" width="14.3984375" style="48" bestFit="1" customWidth="1"/>
    <col min="7190" max="7190" width="8.09765625" style="48" customWidth="1"/>
    <col min="7191" max="7424" width="8.19921875" style="48"/>
    <col min="7425" max="7425" width="54.59765625" style="48" customWidth="1"/>
    <col min="7426" max="7426" width="16.296875" style="48" customWidth="1"/>
    <col min="7427" max="7427" width="13.796875" style="48" customWidth="1"/>
    <col min="7428" max="7428" width="16.19921875" style="48" customWidth="1"/>
    <col min="7429" max="7429" width="14.796875" style="48" customWidth="1"/>
    <col min="7430" max="7430" width="16.296875" style="48" customWidth="1"/>
    <col min="7431" max="7431" width="13.59765625" style="48" customWidth="1"/>
    <col min="7432" max="7432" width="10" style="48" customWidth="1"/>
    <col min="7433" max="7433" width="13.59765625" style="48" customWidth="1"/>
    <col min="7434" max="7434" width="17.69921875" style="48" bestFit="1" customWidth="1"/>
    <col min="7435" max="7435" width="14.09765625" style="48" bestFit="1" customWidth="1"/>
    <col min="7436" max="7437" width="15.19921875" style="48" bestFit="1" customWidth="1"/>
    <col min="7438" max="7438" width="16.796875" style="48" bestFit="1" customWidth="1"/>
    <col min="7439" max="7439" width="12.796875" style="48" bestFit="1" customWidth="1"/>
    <col min="7440" max="7440" width="11.69921875" style="48" customWidth="1"/>
    <col min="7441" max="7441" width="14.296875" style="48" bestFit="1" customWidth="1"/>
    <col min="7442" max="7443" width="13.09765625" style="48" bestFit="1" customWidth="1"/>
    <col min="7444" max="7444" width="13.796875" style="48" customWidth="1"/>
    <col min="7445" max="7445" width="14.3984375" style="48" bestFit="1" customWidth="1"/>
    <col min="7446" max="7446" width="8.09765625" style="48" customWidth="1"/>
    <col min="7447" max="7680" width="8.19921875" style="48"/>
    <col min="7681" max="7681" width="54.59765625" style="48" customWidth="1"/>
    <col min="7682" max="7682" width="16.296875" style="48" customWidth="1"/>
    <col min="7683" max="7683" width="13.796875" style="48" customWidth="1"/>
    <col min="7684" max="7684" width="16.19921875" style="48" customWidth="1"/>
    <col min="7685" max="7685" width="14.796875" style="48" customWidth="1"/>
    <col min="7686" max="7686" width="16.296875" style="48" customWidth="1"/>
    <col min="7687" max="7687" width="13.59765625" style="48" customWidth="1"/>
    <col min="7688" max="7688" width="10" style="48" customWidth="1"/>
    <col min="7689" max="7689" width="13.59765625" style="48" customWidth="1"/>
    <col min="7690" max="7690" width="17.69921875" style="48" bestFit="1" customWidth="1"/>
    <col min="7691" max="7691" width="14.09765625" style="48" bestFit="1" customWidth="1"/>
    <col min="7692" max="7693" width="15.19921875" style="48" bestFit="1" customWidth="1"/>
    <col min="7694" max="7694" width="16.796875" style="48" bestFit="1" customWidth="1"/>
    <col min="7695" max="7695" width="12.796875" style="48" bestFit="1" customWidth="1"/>
    <col min="7696" max="7696" width="11.69921875" style="48" customWidth="1"/>
    <col min="7697" max="7697" width="14.296875" style="48" bestFit="1" customWidth="1"/>
    <col min="7698" max="7699" width="13.09765625" style="48" bestFit="1" customWidth="1"/>
    <col min="7700" max="7700" width="13.796875" style="48" customWidth="1"/>
    <col min="7701" max="7701" width="14.3984375" style="48" bestFit="1" customWidth="1"/>
    <col min="7702" max="7702" width="8.09765625" style="48" customWidth="1"/>
    <col min="7703" max="7936" width="8.19921875" style="48"/>
    <col min="7937" max="7937" width="54.59765625" style="48" customWidth="1"/>
    <col min="7938" max="7938" width="16.296875" style="48" customWidth="1"/>
    <col min="7939" max="7939" width="13.796875" style="48" customWidth="1"/>
    <col min="7940" max="7940" width="16.19921875" style="48" customWidth="1"/>
    <col min="7941" max="7941" width="14.796875" style="48" customWidth="1"/>
    <col min="7942" max="7942" width="16.296875" style="48" customWidth="1"/>
    <col min="7943" max="7943" width="13.59765625" style="48" customWidth="1"/>
    <col min="7944" max="7944" width="10" style="48" customWidth="1"/>
    <col min="7945" max="7945" width="13.59765625" style="48" customWidth="1"/>
    <col min="7946" max="7946" width="17.69921875" style="48" bestFit="1" customWidth="1"/>
    <col min="7947" max="7947" width="14.09765625" style="48" bestFit="1" customWidth="1"/>
    <col min="7948" max="7949" width="15.19921875" style="48" bestFit="1" customWidth="1"/>
    <col min="7950" max="7950" width="16.796875" style="48" bestFit="1" customWidth="1"/>
    <col min="7951" max="7951" width="12.796875" style="48" bestFit="1" customWidth="1"/>
    <col min="7952" max="7952" width="11.69921875" style="48" customWidth="1"/>
    <col min="7953" max="7953" width="14.296875" style="48" bestFit="1" customWidth="1"/>
    <col min="7954" max="7955" width="13.09765625" style="48" bestFit="1" customWidth="1"/>
    <col min="7956" max="7956" width="13.796875" style="48" customWidth="1"/>
    <col min="7957" max="7957" width="14.3984375" style="48" bestFit="1" customWidth="1"/>
    <col min="7958" max="7958" width="8.09765625" style="48" customWidth="1"/>
    <col min="7959" max="8192" width="8.19921875" style="48"/>
    <col min="8193" max="8193" width="54.59765625" style="48" customWidth="1"/>
    <col min="8194" max="8194" width="16.296875" style="48" customWidth="1"/>
    <col min="8195" max="8195" width="13.796875" style="48" customWidth="1"/>
    <col min="8196" max="8196" width="16.19921875" style="48" customWidth="1"/>
    <col min="8197" max="8197" width="14.796875" style="48" customWidth="1"/>
    <col min="8198" max="8198" width="16.296875" style="48" customWidth="1"/>
    <col min="8199" max="8199" width="13.59765625" style="48" customWidth="1"/>
    <col min="8200" max="8200" width="10" style="48" customWidth="1"/>
    <col min="8201" max="8201" width="13.59765625" style="48" customWidth="1"/>
    <col min="8202" max="8202" width="17.69921875" style="48" bestFit="1" customWidth="1"/>
    <col min="8203" max="8203" width="14.09765625" style="48" bestFit="1" customWidth="1"/>
    <col min="8204" max="8205" width="15.19921875" style="48" bestFit="1" customWidth="1"/>
    <col min="8206" max="8206" width="16.796875" style="48" bestFit="1" customWidth="1"/>
    <col min="8207" max="8207" width="12.796875" style="48" bestFit="1" customWidth="1"/>
    <col min="8208" max="8208" width="11.69921875" style="48" customWidth="1"/>
    <col min="8209" max="8209" width="14.296875" style="48" bestFit="1" customWidth="1"/>
    <col min="8210" max="8211" width="13.09765625" style="48" bestFit="1" customWidth="1"/>
    <col min="8212" max="8212" width="13.796875" style="48" customWidth="1"/>
    <col min="8213" max="8213" width="14.3984375" style="48" bestFit="1" customWidth="1"/>
    <col min="8214" max="8214" width="8.09765625" style="48" customWidth="1"/>
    <col min="8215" max="8448" width="8.19921875" style="48"/>
    <col min="8449" max="8449" width="54.59765625" style="48" customWidth="1"/>
    <col min="8450" max="8450" width="16.296875" style="48" customWidth="1"/>
    <col min="8451" max="8451" width="13.796875" style="48" customWidth="1"/>
    <col min="8452" max="8452" width="16.19921875" style="48" customWidth="1"/>
    <col min="8453" max="8453" width="14.796875" style="48" customWidth="1"/>
    <col min="8454" max="8454" width="16.296875" style="48" customWidth="1"/>
    <col min="8455" max="8455" width="13.59765625" style="48" customWidth="1"/>
    <col min="8456" max="8456" width="10" style="48" customWidth="1"/>
    <col min="8457" max="8457" width="13.59765625" style="48" customWidth="1"/>
    <col min="8458" max="8458" width="17.69921875" style="48" bestFit="1" customWidth="1"/>
    <col min="8459" max="8459" width="14.09765625" style="48" bestFit="1" customWidth="1"/>
    <col min="8460" max="8461" width="15.19921875" style="48" bestFit="1" customWidth="1"/>
    <col min="8462" max="8462" width="16.796875" style="48" bestFit="1" customWidth="1"/>
    <col min="8463" max="8463" width="12.796875" style="48" bestFit="1" customWidth="1"/>
    <col min="8464" max="8464" width="11.69921875" style="48" customWidth="1"/>
    <col min="8465" max="8465" width="14.296875" style="48" bestFit="1" customWidth="1"/>
    <col min="8466" max="8467" width="13.09765625" style="48" bestFit="1" customWidth="1"/>
    <col min="8468" max="8468" width="13.796875" style="48" customWidth="1"/>
    <col min="8469" max="8469" width="14.3984375" style="48" bestFit="1" customWidth="1"/>
    <col min="8470" max="8470" width="8.09765625" style="48" customWidth="1"/>
    <col min="8471" max="8704" width="8.19921875" style="48"/>
    <col min="8705" max="8705" width="54.59765625" style="48" customWidth="1"/>
    <col min="8706" max="8706" width="16.296875" style="48" customWidth="1"/>
    <col min="8707" max="8707" width="13.796875" style="48" customWidth="1"/>
    <col min="8708" max="8708" width="16.19921875" style="48" customWidth="1"/>
    <col min="8709" max="8709" width="14.796875" style="48" customWidth="1"/>
    <col min="8710" max="8710" width="16.296875" style="48" customWidth="1"/>
    <col min="8711" max="8711" width="13.59765625" style="48" customWidth="1"/>
    <col min="8712" max="8712" width="10" style="48" customWidth="1"/>
    <col min="8713" max="8713" width="13.59765625" style="48" customWidth="1"/>
    <col min="8714" max="8714" width="17.69921875" style="48" bestFit="1" customWidth="1"/>
    <col min="8715" max="8715" width="14.09765625" style="48" bestFit="1" customWidth="1"/>
    <col min="8716" max="8717" width="15.19921875" style="48" bestFit="1" customWidth="1"/>
    <col min="8718" max="8718" width="16.796875" style="48" bestFit="1" customWidth="1"/>
    <col min="8719" max="8719" width="12.796875" style="48" bestFit="1" customWidth="1"/>
    <col min="8720" max="8720" width="11.69921875" style="48" customWidth="1"/>
    <col min="8721" max="8721" width="14.296875" style="48" bestFit="1" customWidth="1"/>
    <col min="8722" max="8723" width="13.09765625" style="48" bestFit="1" customWidth="1"/>
    <col min="8724" max="8724" width="13.796875" style="48" customWidth="1"/>
    <col min="8725" max="8725" width="14.3984375" style="48" bestFit="1" customWidth="1"/>
    <col min="8726" max="8726" width="8.09765625" style="48" customWidth="1"/>
    <col min="8727" max="8960" width="8.19921875" style="48"/>
    <col min="8961" max="8961" width="54.59765625" style="48" customWidth="1"/>
    <col min="8962" max="8962" width="16.296875" style="48" customWidth="1"/>
    <col min="8963" max="8963" width="13.796875" style="48" customWidth="1"/>
    <col min="8964" max="8964" width="16.19921875" style="48" customWidth="1"/>
    <col min="8965" max="8965" width="14.796875" style="48" customWidth="1"/>
    <col min="8966" max="8966" width="16.296875" style="48" customWidth="1"/>
    <col min="8967" max="8967" width="13.59765625" style="48" customWidth="1"/>
    <col min="8968" max="8968" width="10" style="48" customWidth="1"/>
    <col min="8969" max="8969" width="13.59765625" style="48" customWidth="1"/>
    <col min="8970" max="8970" width="17.69921875" style="48" bestFit="1" customWidth="1"/>
    <col min="8971" max="8971" width="14.09765625" style="48" bestFit="1" customWidth="1"/>
    <col min="8972" max="8973" width="15.19921875" style="48" bestFit="1" customWidth="1"/>
    <col min="8974" max="8974" width="16.796875" style="48" bestFit="1" customWidth="1"/>
    <col min="8975" max="8975" width="12.796875" style="48" bestFit="1" customWidth="1"/>
    <col min="8976" max="8976" width="11.69921875" style="48" customWidth="1"/>
    <col min="8977" max="8977" width="14.296875" style="48" bestFit="1" customWidth="1"/>
    <col min="8978" max="8979" width="13.09765625" style="48" bestFit="1" customWidth="1"/>
    <col min="8980" max="8980" width="13.796875" style="48" customWidth="1"/>
    <col min="8981" max="8981" width="14.3984375" style="48" bestFit="1" customWidth="1"/>
    <col min="8982" max="8982" width="8.09765625" style="48" customWidth="1"/>
    <col min="8983" max="9216" width="8.19921875" style="48"/>
    <col min="9217" max="9217" width="54.59765625" style="48" customWidth="1"/>
    <col min="9218" max="9218" width="16.296875" style="48" customWidth="1"/>
    <col min="9219" max="9219" width="13.796875" style="48" customWidth="1"/>
    <col min="9220" max="9220" width="16.19921875" style="48" customWidth="1"/>
    <col min="9221" max="9221" width="14.796875" style="48" customWidth="1"/>
    <col min="9222" max="9222" width="16.296875" style="48" customWidth="1"/>
    <col min="9223" max="9223" width="13.59765625" style="48" customWidth="1"/>
    <col min="9224" max="9224" width="10" style="48" customWidth="1"/>
    <col min="9225" max="9225" width="13.59765625" style="48" customWidth="1"/>
    <col min="9226" max="9226" width="17.69921875" style="48" bestFit="1" customWidth="1"/>
    <col min="9227" max="9227" width="14.09765625" style="48" bestFit="1" customWidth="1"/>
    <col min="9228" max="9229" width="15.19921875" style="48" bestFit="1" customWidth="1"/>
    <col min="9230" max="9230" width="16.796875" style="48" bestFit="1" customWidth="1"/>
    <col min="9231" max="9231" width="12.796875" style="48" bestFit="1" customWidth="1"/>
    <col min="9232" max="9232" width="11.69921875" style="48" customWidth="1"/>
    <col min="9233" max="9233" width="14.296875" style="48" bestFit="1" customWidth="1"/>
    <col min="9234" max="9235" width="13.09765625" style="48" bestFit="1" customWidth="1"/>
    <col min="9236" max="9236" width="13.796875" style="48" customWidth="1"/>
    <col min="9237" max="9237" width="14.3984375" style="48" bestFit="1" customWidth="1"/>
    <col min="9238" max="9238" width="8.09765625" style="48" customWidth="1"/>
    <col min="9239" max="9472" width="8.19921875" style="48"/>
    <col min="9473" max="9473" width="54.59765625" style="48" customWidth="1"/>
    <col min="9474" max="9474" width="16.296875" style="48" customWidth="1"/>
    <col min="9475" max="9475" width="13.796875" style="48" customWidth="1"/>
    <col min="9476" max="9476" width="16.19921875" style="48" customWidth="1"/>
    <col min="9477" max="9477" width="14.796875" style="48" customWidth="1"/>
    <col min="9478" max="9478" width="16.296875" style="48" customWidth="1"/>
    <col min="9479" max="9479" width="13.59765625" style="48" customWidth="1"/>
    <col min="9480" max="9480" width="10" style="48" customWidth="1"/>
    <col min="9481" max="9481" width="13.59765625" style="48" customWidth="1"/>
    <col min="9482" max="9482" width="17.69921875" style="48" bestFit="1" customWidth="1"/>
    <col min="9483" max="9483" width="14.09765625" style="48" bestFit="1" customWidth="1"/>
    <col min="9484" max="9485" width="15.19921875" style="48" bestFit="1" customWidth="1"/>
    <col min="9486" max="9486" width="16.796875" style="48" bestFit="1" customWidth="1"/>
    <col min="9487" max="9487" width="12.796875" style="48" bestFit="1" customWidth="1"/>
    <col min="9488" max="9488" width="11.69921875" style="48" customWidth="1"/>
    <col min="9489" max="9489" width="14.296875" style="48" bestFit="1" customWidth="1"/>
    <col min="9490" max="9491" width="13.09765625" style="48" bestFit="1" customWidth="1"/>
    <col min="9492" max="9492" width="13.796875" style="48" customWidth="1"/>
    <col min="9493" max="9493" width="14.3984375" style="48" bestFit="1" customWidth="1"/>
    <col min="9494" max="9494" width="8.09765625" style="48" customWidth="1"/>
    <col min="9495" max="9728" width="8.19921875" style="48"/>
    <col min="9729" max="9729" width="54.59765625" style="48" customWidth="1"/>
    <col min="9730" max="9730" width="16.296875" style="48" customWidth="1"/>
    <col min="9731" max="9731" width="13.796875" style="48" customWidth="1"/>
    <col min="9732" max="9732" width="16.19921875" style="48" customWidth="1"/>
    <col min="9733" max="9733" width="14.796875" style="48" customWidth="1"/>
    <col min="9734" max="9734" width="16.296875" style="48" customWidth="1"/>
    <col min="9735" max="9735" width="13.59765625" style="48" customWidth="1"/>
    <col min="9736" max="9736" width="10" style="48" customWidth="1"/>
    <col min="9737" max="9737" width="13.59765625" style="48" customWidth="1"/>
    <col min="9738" max="9738" width="17.69921875" style="48" bestFit="1" customWidth="1"/>
    <col min="9739" max="9739" width="14.09765625" style="48" bestFit="1" customWidth="1"/>
    <col min="9740" max="9741" width="15.19921875" style="48" bestFit="1" customWidth="1"/>
    <col min="9742" max="9742" width="16.796875" style="48" bestFit="1" customWidth="1"/>
    <col min="9743" max="9743" width="12.796875" style="48" bestFit="1" customWidth="1"/>
    <col min="9744" max="9744" width="11.69921875" style="48" customWidth="1"/>
    <col min="9745" max="9745" width="14.296875" style="48" bestFit="1" customWidth="1"/>
    <col min="9746" max="9747" width="13.09765625" style="48" bestFit="1" customWidth="1"/>
    <col min="9748" max="9748" width="13.796875" style="48" customWidth="1"/>
    <col min="9749" max="9749" width="14.3984375" style="48" bestFit="1" customWidth="1"/>
    <col min="9750" max="9750" width="8.09765625" style="48" customWidth="1"/>
    <col min="9751" max="9984" width="8.19921875" style="48"/>
    <col min="9985" max="9985" width="54.59765625" style="48" customWidth="1"/>
    <col min="9986" max="9986" width="16.296875" style="48" customWidth="1"/>
    <col min="9987" max="9987" width="13.796875" style="48" customWidth="1"/>
    <col min="9988" max="9988" width="16.19921875" style="48" customWidth="1"/>
    <col min="9989" max="9989" width="14.796875" style="48" customWidth="1"/>
    <col min="9990" max="9990" width="16.296875" style="48" customWidth="1"/>
    <col min="9991" max="9991" width="13.59765625" style="48" customWidth="1"/>
    <col min="9992" max="9992" width="10" style="48" customWidth="1"/>
    <col min="9993" max="9993" width="13.59765625" style="48" customWidth="1"/>
    <col min="9994" max="9994" width="17.69921875" style="48" bestFit="1" customWidth="1"/>
    <col min="9995" max="9995" width="14.09765625" style="48" bestFit="1" customWidth="1"/>
    <col min="9996" max="9997" width="15.19921875" style="48" bestFit="1" customWidth="1"/>
    <col min="9998" max="9998" width="16.796875" style="48" bestFit="1" customWidth="1"/>
    <col min="9999" max="9999" width="12.796875" style="48" bestFit="1" customWidth="1"/>
    <col min="10000" max="10000" width="11.69921875" style="48" customWidth="1"/>
    <col min="10001" max="10001" width="14.296875" style="48" bestFit="1" customWidth="1"/>
    <col min="10002" max="10003" width="13.09765625" style="48" bestFit="1" customWidth="1"/>
    <col min="10004" max="10004" width="13.796875" style="48" customWidth="1"/>
    <col min="10005" max="10005" width="14.3984375" style="48" bestFit="1" customWidth="1"/>
    <col min="10006" max="10006" width="8.09765625" style="48" customWidth="1"/>
    <col min="10007" max="10240" width="8.19921875" style="48"/>
    <col min="10241" max="10241" width="54.59765625" style="48" customWidth="1"/>
    <col min="10242" max="10242" width="16.296875" style="48" customWidth="1"/>
    <col min="10243" max="10243" width="13.796875" style="48" customWidth="1"/>
    <col min="10244" max="10244" width="16.19921875" style="48" customWidth="1"/>
    <col min="10245" max="10245" width="14.796875" style="48" customWidth="1"/>
    <col min="10246" max="10246" width="16.296875" style="48" customWidth="1"/>
    <col min="10247" max="10247" width="13.59765625" style="48" customWidth="1"/>
    <col min="10248" max="10248" width="10" style="48" customWidth="1"/>
    <col min="10249" max="10249" width="13.59765625" style="48" customWidth="1"/>
    <col min="10250" max="10250" width="17.69921875" style="48" bestFit="1" customWidth="1"/>
    <col min="10251" max="10251" width="14.09765625" style="48" bestFit="1" customWidth="1"/>
    <col min="10252" max="10253" width="15.19921875" style="48" bestFit="1" customWidth="1"/>
    <col min="10254" max="10254" width="16.796875" style="48" bestFit="1" customWidth="1"/>
    <col min="10255" max="10255" width="12.796875" style="48" bestFit="1" customWidth="1"/>
    <col min="10256" max="10256" width="11.69921875" style="48" customWidth="1"/>
    <col min="10257" max="10257" width="14.296875" style="48" bestFit="1" customWidth="1"/>
    <col min="10258" max="10259" width="13.09765625" style="48" bestFit="1" customWidth="1"/>
    <col min="10260" max="10260" width="13.796875" style="48" customWidth="1"/>
    <col min="10261" max="10261" width="14.3984375" style="48" bestFit="1" customWidth="1"/>
    <col min="10262" max="10262" width="8.09765625" style="48" customWidth="1"/>
    <col min="10263" max="10496" width="8.19921875" style="48"/>
    <col min="10497" max="10497" width="54.59765625" style="48" customWidth="1"/>
    <col min="10498" max="10498" width="16.296875" style="48" customWidth="1"/>
    <col min="10499" max="10499" width="13.796875" style="48" customWidth="1"/>
    <col min="10500" max="10500" width="16.19921875" style="48" customWidth="1"/>
    <col min="10501" max="10501" width="14.796875" style="48" customWidth="1"/>
    <col min="10502" max="10502" width="16.296875" style="48" customWidth="1"/>
    <col min="10503" max="10503" width="13.59765625" style="48" customWidth="1"/>
    <col min="10504" max="10504" width="10" style="48" customWidth="1"/>
    <col min="10505" max="10505" width="13.59765625" style="48" customWidth="1"/>
    <col min="10506" max="10506" width="17.69921875" style="48" bestFit="1" customWidth="1"/>
    <col min="10507" max="10507" width="14.09765625" style="48" bestFit="1" customWidth="1"/>
    <col min="10508" max="10509" width="15.19921875" style="48" bestFit="1" customWidth="1"/>
    <col min="10510" max="10510" width="16.796875" style="48" bestFit="1" customWidth="1"/>
    <col min="10511" max="10511" width="12.796875" style="48" bestFit="1" customWidth="1"/>
    <col min="10512" max="10512" width="11.69921875" style="48" customWidth="1"/>
    <col min="10513" max="10513" width="14.296875" style="48" bestFit="1" customWidth="1"/>
    <col min="10514" max="10515" width="13.09765625" style="48" bestFit="1" customWidth="1"/>
    <col min="10516" max="10516" width="13.796875" style="48" customWidth="1"/>
    <col min="10517" max="10517" width="14.3984375" style="48" bestFit="1" customWidth="1"/>
    <col min="10518" max="10518" width="8.09765625" style="48" customWidth="1"/>
    <col min="10519" max="10752" width="8.19921875" style="48"/>
    <col min="10753" max="10753" width="54.59765625" style="48" customWidth="1"/>
    <col min="10754" max="10754" width="16.296875" style="48" customWidth="1"/>
    <col min="10755" max="10755" width="13.796875" style="48" customWidth="1"/>
    <col min="10756" max="10756" width="16.19921875" style="48" customWidth="1"/>
    <col min="10757" max="10757" width="14.796875" style="48" customWidth="1"/>
    <col min="10758" max="10758" width="16.296875" style="48" customWidth="1"/>
    <col min="10759" max="10759" width="13.59765625" style="48" customWidth="1"/>
    <col min="10760" max="10760" width="10" style="48" customWidth="1"/>
    <col min="10761" max="10761" width="13.59765625" style="48" customWidth="1"/>
    <col min="10762" max="10762" width="17.69921875" style="48" bestFit="1" customWidth="1"/>
    <col min="10763" max="10763" width="14.09765625" style="48" bestFit="1" customWidth="1"/>
    <col min="10764" max="10765" width="15.19921875" style="48" bestFit="1" customWidth="1"/>
    <col min="10766" max="10766" width="16.796875" style="48" bestFit="1" customWidth="1"/>
    <col min="10767" max="10767" width="12.796875" style="48" bestFit="1" customWidth="1"/>
    <col min="10768" max="10768" width="11.69921875" style="48" customWidth="1"/>
    <col min="10769" max="10769" width="14.296875" style="48" bestFit="1" customWidth="1"/>
    <col min="10770" max="10771" width="13.09765625" style="48" bestFit="1" customWidth="1"/>
    <col min="10772" max="10772" width="13.796875" style="48" customWidth="1"/>
    <col min="10773" max="10773" width="14.3984375" style="48" bestFit="1" customWidth="1"/>
    <col min="10774" max="10774" width="8.09765625" style="48" customWidth="1"/>
    <col min="10775" max="11008" width="8.19921875" style="48"/>
    <col min="11009" max="11009" width="54.59765625" style="48" customWidth="1"/>
    <col min="11010" max="11010" width="16.296875" style="48" customWidth="1"/>
    <col min="11011" max="11011" width="13.796875" style="48" customWidth="1"/>
    <col min="11012" max="11012" width="16.19921875" style="48" customWidth="1"/>
    <col min="11013" max="11013" width="14.796875" style="48" customWidth="1"/>
    <col min="11014" max="11014" width="16.296875" style="48" customWidth="1"/>
    <col min="11015" max="11015" width="13.59765625" style="48" customWidth="1"/>
    <col min="11016" max="11016" width="10" style="48" customWidth="1"/>
    <col min="11017" max="11017" width="13.59765625" style="48" customWidth="1"/>
    <col min="11018" max="11018" width="17.69921875" style="48" bestFit="1" customWidth="1"/>
    <col min="11019" max="11019" width="14.09765625" style="48" bestFit="1" customWidth="1"/>
    <col min="11020" max="11021" width="15.19921875" style="48" bestFit="1" customWidth="1"/>
    <col min="11022" max="11022" width="16.796875" style="48" bestFit="1" customWidth="1"/>
    <col min="11023" max="11023" width="12.796875" style="48" bestFit="1" customWidth="1"/>
    <col min="11024" max="11024" width="11.69921875" style="48" customWidth="1"/>
    <col min="11025" max="11025" width="14.296875" style="48" bestFit="1" customWidth="1"/>
    <col min="11026" max="11027" width="13.09765625" style="48" bestFit="1" customWidth="1"/>
    <col min="11028" max="11028" width="13.796875" style="48" customWidth="1"/>
    <col min="11029" max="11029" width="14.3984375" style="48" bestFit="1" customWidth="1"/>
    <col min="11030" max="11030" width="8.09765625" style="48" customWidth="1"/>
    <col min="11031" max="11264" width="8.19921875" style="48"/>
    <col min="11265" max="11265" width="54.59765625" style="48" customWidth="1"/>
    <col min="11266" max="11266" width="16.296875" style="48" customWidth="1"/>
    <col min="11267" max="11267" width="13.796875" style="48" customWidth="1"/>
    <col min="11268" max="11268" width="16.19921875" style="48" customWidth="1"/>
    <col min="11269" max="11269" width="14.796875" style="48" customWidth="1"/>
    <col min="11270" max="11270" width="16.296875" style="48" customWidth="1"/>
    <col min="11271" max="11271" width="13.59765625" style="48" customWidth="1"/>
    <col min="11272" max="11272" width="10" style="48" customWidth="1"/>
    <col min="11273" max="11273" width="13.59765625" style="48" customWidth="1"/>
    <col min="11274" max="11274" width="17.69921875" style="48" bestFit="1" customWidth="1"/>
    <col min="11275" max="11275" width="14.09765625" style="48" bestFit="1" customWidth="1"/>
    <col min="11276" max="11277" width="15.19921875" style="48" bestFit="1" customWidth="1"/>
    <col min="11278" max="11278" width="16.796875" style="48" bestFit="1" customWidth="1"/>
    <col min="11279" max="11279" width="12.796875" style="48" bestFit="1" customWidth="1"/>
    <col min="11280" max="11280" width="11.69921875" style="48" customWidth="1"/>
    <col min="11281" max="11281" width="14.296875" style="48" bestFit="1" customWidth="1"/>
    <col min="11282" max="11283" width="13.09765625" style="48" bestFit="1" customWidth="1"/>
    <col min="11284" max="11284" width="13.796875" style="48" customWidth="1"/>
    <col min="11285" max="11285" width="14.3984375" style="48" bestFit="1" customWidth="1"/>
    <col min="11286" max="11286" width="8.09765625" style="48" customWidth="1"/>
    <col min="11287" max="11520" width="8.19921875" style="48"/>
    <col min="11521" max="11521" width="54.59765625" style="48" customWidth="1"/>
    <col min="11522" max="11522" width="16.296875" style="48" customWidth="1"/>
    <col min="11523" max="11523" width="13.796875" style="48" customWidth="1"/>
    <col min="11524" max="11524" width="16.19921875" style="48" customWidth="1"/>
    <col min="11525" max="11525" width="14.796875" style="48" customWidth="1"/>
    <col min="11526" max="11526" width="16.296875" style="48" customWidth="1"/>
    <col min="11527" max="11527" width="13.59765625" style="48" customWidth="1"/>
    <col min="11528" max="11528" width="10" style="48" customWidth="1"/>
    <col min="11529" max="11529" width="13.59765625" style="48" customWidth="1"/>
    <col min="11530" max="11530" width="17.69921875" style="48" bestFit="1" customWidth="1"/>
    <col min="11531" max="11531" width="14.09765625" style="48" bestFit="1" customWidth="1"/>
    <col min="11532" max="11533" width="15.19921875" style="48" bestFit="1" customWidth="1"/>
    <col min="11534" max="11534" width="16.796875" style="48" bestFit="1" customWidth="1"/>
    <col min="11535" max="11535" width="12.796875" style="48" bestFit="1" customWidth="1"/>
    <col min="11536" max="11536" width="11.69921875" style="48" customWidth="1"/>
    <col min="11537" max="11537" width="14.296875" style="48" bestFit="1" customWidth="1"/>
    <col min="11538" max="11539" width="13.09765625" style="48" bestFit="1" customWidth="1"/>
    <col min="11540" max="11540" width="13.796875" style="48" customWidth="1"/>
    <col min="11541" max="11541" width="14.3984375" style="48" bestFit="1" customWidth="1"/>
    <col min="11542" max="11542" width="8.09765625" style="48" customWidth="1"/>
    <col min="11543" max="11776" width="8.19921875" style="48"/>
    <col min="11777" max="11777" width="54.59765625" style="48" customWidth="1"/>
    <col min="11778" max="11778" width="16.296875" style="48" customWidth="1"/>
    <col min="11779" max="11779" width="13.796875" style="48" customWidth="1"/>
    <col min="11780" max="11780" width="16.19921875" style="48" customWidth="1"/>
    <col min="11781" max="11781" width="14.796875" style="48" customWidth="1"/>
    <col min="11782" max="11782" width="16.296875" style="48" customWidth="1"/>
    <col min="11783" max="11783" width="13.59765625" style="48" customWidth="1"/>
    <col min="11784" max="11784" width="10" style="48" customWidth="1"/>
    <col min="11785" max="11785" width="13.59765625" style="48" customWidth="1"/>
    <col min="11786" max="11786" width="17.69921875" style="48" bestFit="1" customWidth="1"/>
    <col min="11787" max="11787" width="14.09765625" style="48" bestFit="1" customWidth="1"/>
    <col min="11788" max="11789" width="15.19921875" style="48" bestFit="1" customWidth="1"/>
    <col min="11790" max="11790" width="16.796875" style="48" bestFit="1" customWidth="1"/>
    <col min="11791" max="11791" width="12.796875" style="48" bestFit="1" customWidth="1"/>
    <col min="11792" max="11792" width="11.69921875" style="48" customWidth="1"/>
    <col min="11793" max="11793" width="14.296875" style="48" bestFit="1" customWidth="1"/>
    <col min="11794" max="11795" width="13.09765625" style="48" bestFit="1" customWidth="1"/>
    <col min="11796" max="11796" width="13.796875" style="48" customWidth="1"/>
    <col min="11797" max="11797" width="14.3984375" style="48" bestFit="1" customWidth="1"/>
    <col min="11798" max="11798" width="8.09765625" style="48" customWidth="1"/>
    <col min="11799" max="12032" width="8.19921875" style="48"/>
    <col min="12033" max="12033" width="54.59765625" style="48" customWidth="1"/>
    <col min="12034" max="12034" width="16.296875" style="48" customWidth="1"/>
    <col min="12035" max="12035" width="13.796875" style="48" customWidth="1"/>
    <col min="12036" max="12036" width="16.19921875" style="48" customWidth="1"/>
    <col min="12037" max="12037" width="14.796875" style="48" customWidth="1"/>
    <col min="12038" max="12038" width="16.296875" style="48" customWidth="1"/>
    <col min="12039" max="12039" width="13.59765625" style="48" customWidth="1"/>
    <col min="12040" max="12040" width="10" style="48" customWidth="1"/>
    <col min="12041" max="12041" width="13.59765625" style="48" customWidth="1"/>
    <col min="12042" max="12042" width="17.69921875" style="48" bestFit="1" customWidth="1"/>
    <col min="12043" max="12043" width="14.09765625" style="48" bestFit="1" customWidth="1"/>
    <col min="12044" max="12045" width="15.19921875" style="48" bestFit="1" customWidth="1"/>
    <col min="12046" max="12046" width="16.796875" style="48" bestFit="1" customWidth="1"/>
    <col min="12047" max="12047" width="12.796875" style="48" bestFit="1" customWidth="1"/>
    <col min="12048" max="12048" width="11.69921875" style="48" customWidth="1"/>
    <col min="12049" max="12049" width="14.296875" style="48" bestFit="1" customWidth="1"/>
    <col min="12050" max="12051" width="13.09765625" style="48" bestFit="1" customWidth="1"/>
    <col min="12052" max="12052" width="13.796875" style="48" customWidth="1"/>
    <col min="12053" max="12053" width="14.3984375" style="48" bestFit="1" customWidth="1"/>
    <col min="12054" max="12054" width="8.09765625" style="48" customWidth="1"/>
    <col min="12055" max="12288" width="8.19921875" style="48"/>
    <col min="12289" max="12289" width="54.59765625" style="48" customWidth="1"/>
    <col min="12290" max="12290" width="16.296875" style="48" customWidth="1"/>
    <col min="12291" max="12291" width="13.796875" style="48" customWidth="1"/>
    <col min="12292" max="12292" width="16.19921875" style="48" customWidth="1"/>
    <col min="12293" max="12293" width="14.796875" style="48" customWidth="1"/>
    <col min="12294" max="12294" width="16.296875" style="48" customWidth="1"/>
    <col min="12295" max="12295" width="13.59765625" style="48" customWidth="1"/>
    <col min="12296" max="12296" width="10" style="48" customWidth="1"/>
    <col min="12297" max="12297" width="13.59765625" style="48" customWidth="1"/>
    <col min="12298" max="12298" width="17.69921875" style="48" bestFit="1" customWidth="1"/>
    <col min="12299" max="12299" width="14.09765625" style="48" bestFit="1" customWidth="1"/>
    <col min="12300" max="12301" width="15.19921875" style="48" bestFit="1" customWidth="1"/>
    <col min="12302" max="12302" width="16.796875" style="48" bestFit="1" customWidth="1"/>
    <col min="12303" max="12303" width="12.796875" style="48" bestFit="1" customWidth="1"/>
    <col min="12304" max="12304" width="11.69921875" style="48" customWidth="1"/>
    <col min="12305" max="12305" width="14.296875" style="48" bestFit="1" customWidth="1"/>
    <col min="12306" max="12307" width="13.09765625" style="48" bestFit="1" customWidth="1"/>
    <col min="12308" max="12308" width="13.796875" style="48" customWidth="1"/>
    <col min="12309" max="12309" width="14.3984375" style="48" bestFit="1" customWidth="1"/>
    <col min="12310" max="12310" width="8.09765625" style="48" customWidth="1"/>
    <col min="12311" max="12544" width="8.19921875" style="48"/>
    <col min="12545" max="12545" width="54.59765625" style="48" customWidth="1"/>
    <col min="12546" max="12546" width="16.296875" style="48" customWidth="1"/>
    <col min="12547" max="12547" width="13.796875" style="48" customWidth="1"/>
    <col min="12548" max="12548" width="16.19921875" style="48" customWidth="1"/>
    <col min="12549" max="12549" width="14.796875" style="48" customWidth="1"/>
    <col min="12550" max="12550" width="16.296875" style="48" customWidth="1"/>
    <col min="12551" max="12551" width="13.59765625" style="48" customWidth="1"/>
    <col min="12552" max="12552" width="10" style="48" customWidth="1"/>
    <col min="12553" max="12553" width="13.59765625" style="48" customWidth="1"/>
    <col min="12554" max="12554" width="17.69921875" style="48" bestFit="1" customWidth="1"/>
    <col min="12555" max="12555" width="14.09765625" style="48" bestFit="1" customWidth="1"/>
    <col min="12556" max="12557" width="15.19921875" style="48" bestFit="1" customWidth="1"/>
    <col min="12558" max="12558" width="16.796875" style="48" bestFit="1" customWidth="1"/>
    <col min="12559" max="12559" width="12.796875" style="48" bestFit="1" customWidth="1"/>
    <col min="12560" max="12560" width="11.69921875" style="48" customWidth="1"/>
    <col min="12561" max="12561" width="14.296875" style="48" bestFit="1" customWidth="1"/>
    <col min="12562" max="12563" width="13.09765625" style="48" bestFit="1" customWidth="1"/>
    <col min="12564" max="12564" width="13.796875" style="48" customWidth="1"/>
    <col min="12565" max="12565" width="14.3984375" style="48" bestFit="1" customWidth="1"/>
    <col min="12566" max="12566" width="8.09765625" style="48" customWidth="1"/>
    <col min="12567" max="12800" width="8.19921875" style="48"/>
    <col min="12801" max="12801" width="54.59765625" style="48" customWidth="1"/>
    <col min="12802" max="12802" width="16.296875" style="48" customWidth="1"/>
    <col min="12803" max="12803" width="13.796875" style="48" customWidth="1"/>
    <col min="12804" max="12804" width="16.19921875" style="48" customWidth="1"/>
    <col min="12805" max="12805" width="14.796875" style="48" customWidth="1"/>
    <col min="12806" max="12806" width="16.296875" style="48" customWidth="1"/>
    <col min="12807" max="12807" width="13.59765625" style="48" customWidth="1"/>
    <col min="12808" max="12808" width="10" style="48" customWidth="1"/>
    <col min="12809" max="12809" width="13.59765625" style="48" customWidth="1"/>
    <col min="12810" max="12810" width="17.69921875" style="48" bestFit="1" customWidth="1"/>
    <col min="12811" max="12811" width="14.09765625" style="48" bestFit="1" customWidth="1"/>
    <col min="12812" max="12813" width="15.19921875" style="48" bestFit="1" customWidth="1"/>
    <col min="12814" max="12814" width="16.796875" style="48" bestFit="1" customWidth="1"/>
    <col min="12815" max="12815" width="12.796875" style="48" bestFit="1" customWidth="1"/>
    <col min="12816" max="12816" width="11.69921875" style="48" customWidth="1"/>
    <col min="12817" max="12817" width="14.296875" style="48" bestFit="1" customWidth="1"/>
    <col min="12818" max="12819" width="13.09765625" style="48" bestFit="1" customWidth="1"/>
    <col min="12820" max="12820" width="13.796875" style="48" customWidth="1"/>
    <col min="12821" max="12821" width="14.3984375" style="48" bestFit="1" customWidth="1"/>
    <col min="12822" max="12822" width="8.09765625" style="48" customWidth="1"/>
    <col min="12823" max="13056" width="8.19921875" style="48"/>
    <col min="13057" max="13057" width="54.59765625" style="48" customWidth="1"/>
    <col min="13058" max="13058" width="16.296875" style="48" customWidth="1"/>
    <col min="13059" max="13059" width="13.796875" style="48" customWidth="1"/>
    <col min="13060" max="13060" width="16.19921875" style="48" customWidth="1"/>
    <col min="13061" max="13061" width="14.796875" style="48" customWidth="1"/>
    <col min="13062" max="13062" width="16.296875" style="48" customWidth="1"/>
    <col min="13063" max="13063" width="13.59765625" style="48" customWidth="1"/>
    <col min="13064" max="13064" width="10" style="48" customWidth="1"/>
    <col min="13065" max="13065" width="13.59765625" style="48" customWidth="1"/>
    <col min="13066" max="13066" width="17.69921875" style="48" bestFit="1" customWidth="1"/>
    <col min="13067" max="13067" width="14.09765625" style="48" bestFit="1" customWidth="1"/>
    <col min="13068" max="13069" width="15.19921875" style="48" bestFit="1" customWidth="1"/>
    <col min="13070" max="13070" width="16.796875" style="48" bestFit="1" customWidth="1"/>
    <col min="13071" max="13071" width="12.796875" style="48" bestFit="1" customWidth="1"/>
    <col min="13072" max="13072" width="11.69921875" style="48" customWidth="1"/>
    <col min="13073" max="13073" width="14.296875" style="48" bestFit="1" customWidth="1"/>
    <col min="13074" max="13075" width="13.09765625" style="48" bestFit="1" customWidth="1"/>
    <col min="13076" max="13076" width="13.796875" style="48" customWidth="1"/>
    <col min="13077" max="13077" width="14.3984375" style="48" bestFit="1" customWidth="1"/>
    <col min="13078" max="13078" width="8.09765625" style="48" customWidth="1"/>
    <col min="13079" max="13312" width="8.19921875" style="48"/>
    <col min="13313" max="13313" width="54.59765625" style="48" customWidth="1"/>
    <col min="13314" max="13314" width="16.296875" style="48" customWidth="1"/>
    <col min="13315" max="13315" width="13.796875" style="48" customWidth="1"/>
    <col min="13316" max="13316" width="16.19921875" style="48" customWidth="1"/>
    <col min="13317" max="13317" width="14.796875" style="48" customWidth="1"/>
    <col min="13318" max="13318" width="16.296875" style="48" customWidth="1"/>
    <col min="13319" max="13319" width="13.59765625" style="48" customWidth="1"/>
    <col min="13320" max="13320" width="10" style="48" customWidth="1"/>
    <col min="13321" max="13321" width="13.59765625" style="48" customWidth="1"/>
    <col min="13322" max="13322" width="17.69921875" style="48" bestFit="1" customWidth="1"/>
    <col min="13323" max="13323" width="14.09765625" style="48" bestFit="1" customWidth="1"/>
    <col min="13324" max="13325" width="15.19921875" style="48" bestFit="1" customWidth="1"/>
    <col min="13326" max="13326" width="16.796875" style="48" bestFit="1" customWidth="1"/>
    <col min="13327" max="13327" width="12.796875" style="48" bestFit="1" customWidth="1"/>
    <col min="13328" max="13328" width="11.69921875" style="48" customWidth="1"/>
    <col min="13329" max="13329" width="14.296875" style="48" bestFit="1" customWidth="1"/>
    <col min="13330" max="13331" width="13.09765625" style="48" bestFit="1" customWidth="1"/>
    <col min="13332" max="13332" width="13.796875" style="48" customWidth="1"/>
    <col min="13333" max="13333" width="14.3984375" style="48" bestFit="1" customWidth="1"/>
    <col min="13334" max="13334" width="8.09765625" style="48" customWidth="1"/>
    <col min="13335" max="13568" width="8.19921875" style="48"/>
    <col min="13569" max="13569" width="54.59765625" style="48" customWidth="1"/>
    <col min="13570" max="13570" width="16.296875" style="48" customWidth="1"/>
    <col min="13571" max="13571" width="13.796875" style="48" customWidth="1"/>
    <col min="13572" max="13572" width="16.19921875" style="48" customWidth="1"/>
    <col min="13573" max="13573" width="14.796875" style="48" customWidth="1"/>
    <col min="13574" max="13574" width="16.296875" style="48" customWidth="1"/>
    <col min="13575" max="13575" width="13.59765625" style="48" customWidth="1"/>
    <col min="13576" max="13576" width="10" style="48" customWidth="1"/>
    <col min="13577" max="13577" width="13.59765625" style="48" customWidth="1"/>
    <col min="13578" max="13578" width="17.69921875" style="48" bestFit="1" customWidth="1"/>
    <col min="13579" max="13579" width="14.09765625" style="48" bestFit="1" customWidth="1"/>
    <col min="13580" max="13581" width="15.19921875" style="48" bestFit="1" customWidth="1"/>
    <col min="13582" max="13582" width="16.796875" style="48" bestFit="1" customWidth="1"/>
    <col min="13583" max="13583" width="12.796875" style="48" bestFit="1" customWidth="1"/>
    <col min="13584" max="13584" width="11.69921875" style="48" customWidth="1"/>
    <col min="13585" max="13585" width="14.296875" style="48" bestFit="1" customWidth="1"/>
    <col min="13586" max="13587" width="13.09765625" style="48" bestFit="1" customWidth="1"/>
    <col min="13588" max="13588" width="13.796875" style="48" customWidth="1"/>
    <col min="13589" max="13589" width="14.3984375" style="48" bestFit="1" customWidth="1"/>
    <col min="13590" max="13590" width="8.09765625" style="48" customWidth="1"/>
    <col min="13591" max="13824" width="8.19921875" style="48"/>
    <col min="13825" max="13825" width="54.59765625" style="48" customWidth="1"/>
    <col min="13826" max="13826" width="16.296875" style="48" customWidth="1"/>
    <col min="13827" max="13827" width="13.796875" style="48" customWidth="1"/>
    <col min="13828" max="13828" width="16.19921875" style="48" customWidth="1"/>
    <col min="13829" max="13829" width="14.796875" style="48" customWidth="1"/>
    <col min="13830" max="13830" width="16.296875" style="48" customWidth="1"/>
    <col min="13831" max="13831" width="13.59765625" style="48" customWidth="1"/>
    <col min="13832" max="13832" width="10" style="48" customWidth="1"/>
    <col min="13833" max="13833" width="13.59765625" style="48" customWidth="1"/>
    <col min="13834" max="13834" width="17.69921875" style="48" bestFit="1" customWidth="1"/>
    <col min="13835" max="13835" width="14.09765625" style="48" bestFit="1" customWidth="1"/>
    <col min="13836" max="13837" width="15.19921875" style="48" bestFit="1" customWidth="1"/>
    <col min="13838" max="13838" width="16.796875" style="48" bestFit="1" customWidth="1"/>
    <col min="13839" max="13839" width="12.796875" style="48" bestFit="1" customWidth="1"/>
    <col min="13840" max="13840" width="11.69921875" style="48" customWidth="1"/>
    <col min="13841" max="13841" width="14.296875" style="48" bestFit="1" customWidth="1"/>
    <col min="13842" max="13843" width="13.09765625" style="48" bestFit="1" customWidth="1"/>
    <col min="13844" max="13844" width="13.796875" style="48" customWidth="1"/>
    <col min="13845" max="13845" width="14.3984375" style="48" bestFit="1" customWidth="1"/>
    <col min="13846" max="13846" width="8.09765625" style="48" customWidth="1"/>
    <col min="13847" max="14080" width="8.19921875" style="48"/>
    <col min="14081" max="14081" width="54.59765625" style="48" customWidth="1"/>
    <col min="14082" max="14082" width="16.296875" style="48" customWidth="1"/>
    <col min="14083" max="14083" width="13.796875" style="48" customWidth="1"/>
    <col min="14084" max="14084" width="16.19921875" style="48" customWidth="1"/>
    <col min="14085" max="14085" width="14.796875" style="48" customWidth="1"/>
    <col min="14086" max="14086" width="16.296875" style="48" customWidth="1"/>
    <col min="14087" max="14087" width="13.59765625" style="48" customWidth="1"/>
    <col min="14088" max="14088" width="10" style="48" customWidth="1"/>
    <col min="14089" max="14089" width="13.59765625" style="48" customWidth="1"/>
    <col min="14090" max="14090" width="17.69921875" style="48" bestFit="1" customWidth="1"/>
    <col min="14091" max="14091" width="14.09765625" style="48" bestFit="1" customWidth="1"/>
    <col min="14092" max="14093" width="15.19921875" style="48" bestFit="1" customWidth="1"/>
    <col min="14094" max="14094" width="16.796875" style="48" bestFit="1" customWidth="1"/>
    <col min="14095" max="14095" width="12.796875" style="48" bestFit="1" customWidth="1"/>
    <col min="14096" max="14096" width="11.69921875" style="48" customWidth="1"/>
    <col min="14097" max="14097" width="14.296875" style="48" bestFit="1" customWidth="1"/>
    <col min="14098" max="14099" width="13.09765625" style="48" bestFit="1" customWidth="1"/>
    <col min="14100" max="14100" width="13.796875" style="48" customWidth="1"/>
    <col min="14101" max="14101" width="14.3984375" style="48" bestFit="1" customWidth="1"/>
    <col min="14102" max="14102" width="8.09765625" style="48" customWidth="1"/>
    <col min="14103" max="14336" width="8.19921875" style="48"/>
    <col min="14337" max="14337" width="54.59765625" style="48" customWidth="1"/>
    <col min="14338" max="14338" width="16.296875" style="48" customWidth="1"/>
    <col min="14339" max="14339" width="13.796875" style="48" customWidth="1"/>
    <col min="14340" max="14340" width="16.19921875" style="48" customWidth="1"/>
    <col min="14341" max="14341" width="14.796875" style="48" customWidth="1"/>
    <col min="14342" max="14342" width="16.296875" style="48" customWidth="1"/>
    <col min="14343" max="14343" width="13.59765625" style="48" customWidth="1"/>
    <col min="14344" max="14344" width="10" style="48" customWidth="1"/>
    <col min="14345" max="14345" width="13.59765625" style="48" customWidth="1"/>
    <col min="14346" max="14346" width="17.69921875" style="48" bestFit="1" customWidth="1"/>
    <col min="14347" max="14347" width="14.09765625" style="48" bestFit="1" customWidth="1"/>
    <col min="14348" max="14349" width="15.19921875" style="48" bestFit="1" customWidth="1"/>
    <col min="14350" max="14350" width="16.796875" style="48" bestFit="1" customWidth="1"/>
    <col min="14351" max="14351" width="12.796875" style="48" bestFit="1" customWidth="1"/>
    <col min="14352" max="14352" width="11.69921875" style="48" customWidth="1"/>
    <col min="14353" max="14353" width="14.296875" style="48" bestFit="1" customWidth="1"/>
    <col min="14354" max="14355" width="13.09765625" style="48" bestFit="1" customWidth="1"/>
    <col min="14356" max="14356" width="13.796875" style="48" customWidth="1"/>
    <col min="14357" max="14357" width="14.3984375" style="48" bestFit="1" customWidth="1"/>
    <col min="14358" max="14358" width="8.09765625" style="48" customWidth="1"/>
    <col min="14359" max="14592" width="8.19921875" style="48"/>
    <col min="14593" max="14593" width="54.59765625" style="48" customWidth="1"/>
    <col min="14594" max="14594" width="16.296875" style="48" customWidth="1"/>
    <col min="14595" max="14595" width="13.796875" style="48" customWidth="1"/>
    <col min="14596" max="14596" width="16.19921875" style="48" customWidth="1"/>
    <col min="14597" max="14597" width="14.796875" style="48" customWidth="1"/>
    <col min="14598" max="14598" width="16.296875" style="48" customWidth="1"/>
    <col min="14599" max="14599" width="13.59765625" style="48" customWidth="1"/>
    <col min="14600" max="14600" width="10" style="48" customWidth="1"/>
    <col min="14601" max="14601" width="13.59765625" style="48" customWidth="1"/>
    <col min="14602" max="14602" width="17.69921875" style="48" bestFit="1" customWidth="1"/>
    <col min="14603" max="14603" width="14.09765625" style="48" bestFit="1" customWidth="1"/>
    <col min="14604" max="14605" width="15.19921875" style="48" bestFit="1" customWidth="1"/>
    <col min="14606" max="14606" width="16.796875" style="48" bestFit="1" customWidth="1"/>
    <col min="14607" max="14607" width="12.796875" style="48" bestFit="1" customWidth="1"/>
    <col min="14608" max="14608" width="11.69921875" style="48" customWidth="1"/>
    <col min="14609" max="14609" width="14.296875" style="48" bestFit="1" customWidth="1"/>
    <col min="14610" max="14611" width="13.09765625" style="48" bestFit="1" customWidth="1"/>
    <col min="14612" max="14612" width="13.796875" style="48" customWidth="1"/>
    <col min="14613" max="14613" width="14.3984375" style="48" bestFit="1" customWidth="1"/>
    <col min="14614" max="14614" width="8.09765625" style="48" customWidth="1"/>
    <col min="14615" max="14848" width="8.19921875" style="48"/>
    <col min="14849" max="14849" width="54.59765625" style="48" customWidth="1"/>
    <col min="14850" max="14850" width="16.296875" style="48" customWidth="1"/>
    <col min="14851" max="14851" width="13.796875" style="48" customWidth="1"/>
    <col min="14852" max="14852" width="16.19921875" style="48" customWidth="1"/>
    <col min="14853" max="14853" width="14.796875" style="48" customWidth="1"/>
    <col min="14854" max="14854" width="16.296875" style="48" customWidth="1"/>
    <col min="14855" max="14855" width="13.59765625" style="48" customWidth="1"/>
    <col min="14856" max="14856" width="10" style="48" customWidth="1"/>
    <col min="14857" max="14857" width="13.59765625" style="48" customWidth="1"/>
    <col min="14858" max="14858" width="17.69921875" style="48" bestFit="1" customWidth="1"/>
    <col min="14859" max="14859" width="14.09765625" style="48" bestFit="1" customWidth="1"/>
    <col min="14860" max="14861" width="15.19921875" style="48" bestFit="1" customWidth="1"/>
    <col min="14862" max="14862" width="16.796875" style="48" bestFit="1" customWidth="1"/>
    <col min="14863" max="14863" width="12.796875" style="48" bestFit="1" customWidth="1"/>
    <col min="14864" max="14864" width="11.69921875" style="48" customWidth="1"/>
    <col min="14865" max="14865" width="14.296875" style="48" bestFit="1" customWidth="1"/>
    <col min="14866" max="14867" width="13.09765625" style="48" bestFit="1" customWidth="1"/>
    <col min="14868" max="14868" width="13.796875" style="48" customWidth="1"/>
    <col min="14869" max="14869" width="14.3984375" style="48" bestFit="1" customWidth="1"/>
    <col min="14870" max="14870" width="8.09765625" style="48" customWidth="1"/>
    <col min="14871" max="15104" width="8.19921875" style="48"/>
    <col min="15105" max="15105" width="54.59765625" style="48" customWidth="1"/>
    <col min="15106" max="15106" width="16.296875" style="48" customWidth="1"/>
    <col min="15107" max="15107" width="13.796875" style="48" customWidth="1"/>
    <col min="15108" max="15108" width="16.19921875" style="48" customWidth="1"/>
    <col min="15109" max="15109" width="14.796875" style="48" customWidth="1"/>
    <col min="15110" max="15110" width="16.296875" style="48" customWidth="1"/>
    <col min="15111" max="15111" width="13.59765625" style="48" customWidth="1"/>
    <col min="15112" max="15112" width="10" style="48" customWidth="1"/>
    <col min="15113" max="15113" width="13.59765625" style="48" customWidth="1"/>
    <col min="15114" max="15114" width="17.69921875" style="48" bestFit="1" customWidth="1"/>
    <col min="15115" max="15115" width="14.09765625" style="48" bestFit="1" customWidth="1"/>
    <col min="15116" max="15117" width="15.19921875" style="48" bestFit="1" customWidth="1"/>
    <col min="15118" max="15118" width="16.796875" style="48" bestFit="1" customWidth="1"/>
    <col min="15119" max="15119" width="12.796875" style="48" bestFit="1" customWidth="1"/>
    <col min="15120" max="15120" width="11.69921875" style="48" customWidth="1"/>
    <col min="15121" max="15121" width="14.296875" style="48" bestFit="1" customWidth="1"/>
    <col min="15122" max="15123" width="13.09765625" style="48" bestFit="1" customWidth="1"/>
    <col min="15124" max="15124" width="13.796875" style="48" customWidth="1"/>
    <col min="15125" max="15125" width="14.3984375" style="48" bestFit="1" customWidth="1"/>
    <col min="15126" max="15126" width="8.09765625" style="48" customWidth="1"/>
    <col min="15127" max="15360" width="8.19921875" style="48"/>
    <col min="15361" max="15361" width="54.59765625" style="48" customWidth="1"/>
    <col min="15362" max="15362" width="16.296875" style="48" customWidth="1"/>
    <col min="15363" max="15363" width="13.796875" style="48" customWidth="1"/>
    <col min="15364" max="15364" width="16.19921875" style="48" customWidth="1"/>
    <col min="15365" max="15365" width="14.796875" style="48" customWidth="1"/>
    <col min="15366" max="15366" width="16.296875" style="48" customWidth="1"/>
    <col min="15367" max="15367" width="13.59765625" style="48" customWidth="1"/>
    <col min="15368" max="15368" width="10" style="48" customWidth="1"/>
    <col min="15369" max="15369" width="13.59765625" style="48" customWidth="1"/>
    <col min="15370" max="15370" width="17.69921875" style="48" bestFit="1" customWidth="1"/>
    <col min="15371" max="15371" width="14.09765625" style="48" bestFit="1" customWidth="1"/>
    <col min="15372" max="15373" width="15.19921875" style="48" bestFit="1" customWidth="1"/>
    <col min="15374" max="15374" width="16.796875" style="48" bestFit="1" customWidth="1"/>
    <col min="15375" max="15375" width="12.796875" style="48" bestFit="1" customWidth="1"/>
    <col min="15376" max="15376" width="11.69921875" style="48" customWidth="1"/>
    <col min="15377" max="15377" width="14.296875" style="48" bestFit="1" customWidth="1"/>
    <col min="15378" max="15379" width="13.09765625" style="48" bestFit="1" customWidth="1"/>
    <col min="15380" max="15380" width="13.796875" style="48" customWidth="1"/>
    <col min="15381" max="15381" width="14.3984375" style="48" bestFit="1" customWidth="1"/>
    <col min="15382" max="15382" width="8.09765625" style="48" customWidth="1"/>
    <col min="15383" max="15616" width="8.19921875" style="48"/>
    <col min="15617" max="15617" width="54.59765625" style="48" customWidth="1"/>
    <col min="15618" max="15618" width="16.296875" style="48" customWidth="1"/>
    <col min="15619" max="15619" width="13.796875" style="48" customWidth="1"/>
    <col min="15620" max="15620" width="16.19921875" style="48" customWidth="1"/>
    <col min="15621" max="15621" width="14.796875" style="48" customWidth="1"/>
    <col min="15622" max="15622" width="16.296875" style="48" customWidth="1"/>
    <col min="15623" max="15623" width="13.59765625" style="48" customWidth="1"/>
    <col min="15624" max="15624" width="10" style="48" customWidth="1"/>
    <col min="15625" max="15625" width="13.59765625" style="48" customWidth="1"/>
    <col min="15626" max="15626" width="17.69921875" style="48" bestFit="1" customWidth="1"/>
    <col min="15627" max="15627" width="14.09765625" style="48" bestFit="1" customWidth="1"/>
    <col min="15628" max="15629" width="15.19921875" style="48" bestFit="1" customWidth="1"/>
    <col min="15630" max="15630" width="16.796875" style="48" bestFit="1" customWidth="1"/>
    <col min="15631" max="15631" width="12.796875" style="48" bestFit="1" customWidth="1"/>
    <col min="15632" max="15632" width="11.69921875" style="48" customWidth="1"/>
    <col min="15633" max="15633" width="14.296875" style="48" bestFit="1" customWidth="1"/>
    <col min="15634" max="15635" width="13.09765625" style="48" bestFit="1" customWidth="1"/>
    <col min="15636" max="15636" width="13.796875" style="48" customWidth="1"/>
    <col min="15637" max="15637" width="14.3984375" style="48" bestFit="1" customWidth="1"/>
    <col min="15638" max="15638" width="8.09765625" style="48" customWidth="1"/>
    <col min="15639" max="15872" width="8.19921875" style="48"/>
    <col min="15873" max="15873" width="54.59765625" style="48" customWidth="1"/>
    <col min="15874" max="15874" width="16.296875" style="48" customWidth="1"/>
    <col min="15875" max="15875" width="13.796875" style="48" customWidth="1"/>
    <col min="15876" max="15876" width="16.19921875" style="48" customWidth="1"/>
    <col min="15877" max="15877" width="14.796875" style="48" customWidth="1"/>
    <col min="15878" max="15878" width="16.296875" style="48" customWidth="1"/>
    <col min="15879" max="15879" width="13.59765625" style="48" customWidth="1"/>
    <col min="15880" max="15880" width="10" style="48" customWidth="1"/>
    <col min="15881" max="15881" width="13.59765625" style="48" customWidth="1"/>
    <col min="15882" max="15882" width="17.69921875" style="48" bestFit="1" customWidth="1"/>
    <col min="15883" max="15883" width="14.09765625" style="48" bestFit="1" customWidth="1"/>
    <col min="15884" max="15885" width="15.19921875" style="48" bestFit="1" customWidth="1"/>
    <col min="15886" max="15886" width="16.796875" style="48" bestFit="1" customWidth="1"/>
    <col min="15887" max="15887" width="12.796875" style="48" bestFit="1" customWidth="1"/>
    <col min="15888" max="15888" width="11.69921875" style="48" customWidth="1"/>
    <col min="15889" max="15889" width="14.296875" style="48" bestFit="1" customWidth="1"/>
    <col min="15890" max="15891" width="13.09765625" style="48" bestFit="1" customWidth="1"/>
    <col min="15892" max="15892" width="13.796875" style="48" customWidth="1"/>
    <col min="15893" max="15893" width="14.3984375" style="48" bestFit="1" customWidth="1"/>
    <col min="15894" max="15894" width="8.09765625" style="48" customWidth="1"/>
    <col min="15895" max="16128" width="8.19921875" style="48"/>
    <col min="16129" max="16129" width="54.59765625" style="48" customWidth="1"/>
    <col min="16130" max="16130" width="16.296875" style="48" customWidth="1"/>
    <col min="16131" max="16131" width="13.796875" style="48" customWidth="1"/>
    <col min="16132" max="16132" width="16.19921875" style="48" customWidth="1"/>
    <col min="16133" max="16133" width="14.796875" style="48" customWidth="1"/>
    <col min="16134" max="16134" width="16.296875" style="48" customWidth="1"/>
    <col min="16135" max="16135" width="13.59765625" style="48" customWidth="1"/>
    <col min="16136" max="16136" width="10" style="48" customWidth="1"/>
    <col min="16137" max="16137" width="13.59765625" style="48" customWidth="1"/>
    <col min="16138" max="16138" width="17.69921875" style="48" bestFit="1" customWidth="1"/>
    <col min="16139" max="16139" width="14.09765625" style="48" bestFit="1" customWidth="1"/>
    <col min="16140" max="16141" width="15.19921875" style="48" bestFit="1" customWidth="1"/>
    <col min="16142" max="16142" width="16.796875" style="48" bestFit="1" customWidth="1"/>
    <col min="16143" max="16143" width="12.796875" style="48" bestFit="1" customWidth="1"/>
    <col min="16144" max="16144" width="11.69921875" style="48" customWidth="1"/>
    <col min="16145" max="16145" width="14.296875" style="48" bestFit="1" customWidth="1"/>
    <col min="16146" max="16147" width="13.09765625" style="48" bestFit="1" customWidth="1"/>
    <col min="16148" max="16148" width="13.796875" style="48" customWidth="1"/>
    <col min="16149" max="16149" width="14.3984375" style="48" bestFit="1" customWidth="1"/>
    <col min="16150" max="16150" width="8.09765625" style="48" customWidth="1"/>
    <col min="16151" max="16384" width="8.19921875" style="48"/>
  </cols>
  <sheetData>
    <row r="1" spans="1:20" s="56" customFormat="1" ht="23.4" x14ac:dyDescent="0.45">
      <c r="A1" s="556" t="s">
        <v>6</v>
      </c>
      <c r="B1" s="556"/>
      <c r="C1" s="556"/>
      <c r="D1" s="556"/>
      <c r="E1" s="556"/>
      <c r="F1" s="556"/>
      <c r="G1" s="556"/>
      <c r="H1" s="556"/>
      <c r="I1" s="556"/>
      <c r="J1" s="556"/>
      <c r="K1" s="556"/>
      <c r="L1" s="556"/>
      <c r="M1" s="556"/>
      <c r="N1" s="556"/>
      <c r="O1" s="556"/>
      <c r="P1" s="556"/>
      <c r="Q1" s="556"/>
      <c r="R1" s="556"/>
      <c r="S1" s="556"/>
      <c r="T1" s="556"/>
    </row>
    <row r="2" spans="1:20" s="56" customFormat="1" ht="24" customHeight="1" x14ac:dyDescent="0.45">
      <c r="A2" s="556" t="s">
        <v>0</v>
      </c>
      <c r="B2" s="556"/>
      <c r="C2" s="556"/>
      <c r="D2" s="556"/>
      <c r="E2" s="556"/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6"/>
      <c r="T2" s="556"/>
    </row>
    <row r="3" spans="1:20" s="56" customFormat="1" ht="24" customHeight="1" x14ac:dyDescent="0.45">
      <c r="A3" s="556" t="s">
        <v>39</v>
      </c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6"/>
      <c r="O3" s="556"/>
      <c r="P3" s="556"/>
      <c r="Q3" s="556"/>
      <c r="R3" s="556"/>
      <c r="S3" s="556"/>
      <c r="T3" s="556"/>
    </row>
    <row r="4" spans="1:20" s="56" customFormat="1" ht="23.4" x14ac:dyDescent="0.45">
      <c r="A4" s="556" t="s">
        <v>177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P4" s="556"/>
      <c r="Q4" s="556"/>
      <c r="R4" s="556"/>
      <c r="S4" s="556"/>
      <c r="T4" s="556"/>
    </row>
    <row r="5" spans="1:20" s="56" customFormat="1" ht="27" customHeight="1" x14ac:dyDescent="0.45">
      <c r="O5" s="369"/>
      <c r="P5" s="239"/>
      <c r="R5" s="370"/>
      <c r="S5" s="55"/>
      <c r="T5" s="55"/>
    </row>
    <row r="6" spans="1:20" s="56" customFormat="1" ht="23.4" x14ac:dyDescent="0.45">
      <c r="A6" s="58" t="s">
        <v>181</v>
      </c>
      <c r="O6" s="369"/>
      <c r="P6" s="239"/>
      <c r="R6" s="370"/>
      <c r="S6" s="55"/>
      <c r="T6" s="55"/>
    </row>
    <row r="7" spans="1:20" s="51" customFormat="1" x14ac:dyDescent="0.4">
      <c r="A7" s="371"/>
      <c r="O7" s="372"/>
      <c r="P7" s="295"/>
      <c r="R7" s="373"/>
      <c r="S7" s="36"/>
      <c r="T7" s="47"/>
    </row>
    <row r="8" spans="1:20" s="374" customFormat="1" ht="25.8" x14ac:dyDescent="0.5">
      <c r="A8" s="590" t="s">
        <v>141</v>
      </c>
      <c r="B8" s="591"/>
      <c r="C8" s="591"/>
      <c r="D8" s="591"/>
      <c r="E8" s="591"/>
      <c r="F8" s="591"/>
      <c r="G8" s="591"/>
      <c r="H8" s="591"/>
      <c r="I8" s="592"/>
      <c r="J8" s="591" t="s">
        <v>179</v>
      </c>
      <c r="K8" s="591"/>
      <c r="L8" s="591"/>
      <c r="M8" s="591"/>
      <c r="N8" s="591"/>
      <c r="O8" s="591"/>
      <c r="P8" s="591"/>
      <c r="Q8" s="592"/>
      <c r="R8" s="593" t="s">
        <v>142</v>
      </c>
      <c r="S8" s="594"/>
      <c r="T8" s="595"/>
    </row>
    <row r="9" spans="1:20" s="295" customFormat="1" x14ac:dyDescent="0.4">
      <c r="A9" s="325" t="s">
        <v>126</v>
      </c>
      <c r="B9" s="325" t="s">
        <v>90</v>
      </c>
      <c r="C9" s="325" t="s">
        <v>91</v>
      </c>
      <c r="D9" s="325" t="s">
        <v>4</v>
      </c>
      <c r="E9" s="325" t="s">
        <v>143</v>
      </c>
      <c r="F9" s="325" t="s">
        <v>144</v>
      </c>
      <c r="G9" s="325" t="s">
        <v>94</v>
      </c>
      <c r="H9" s="325" t="s">
        <v>145</v>
      </c>
      <c r="I9" s="325" t="s">
        <v>144</v>
      </c>
      <c r="J9" s="325" t="s">
        <v>90</v>
      </c>
      <c r="K9" s="325" t="s">
        <v>91</v>
      </c>
      <c r="L9" s="325" t="s">
        <v>4</v>
      </c>
      <c r="M9" s="325" t="s">
        <v>143</v>
      </c>
      <c r="N9" s="325" t="s">
        <v>144</v>
      </c>
      <c r="O9" s="323" t="s">
        <v>94</v>
      </c>
      <c r="P9" s="325" t="s">
        <v>145</v>
      </c>
      <c r="Q9" s="325" t="s">
        <v>144</v>
      </c>
      <c r="R9" s="375" t="s">
        <v>144</v>
      </c>
      <c r="S9" s="324" t="s">
        <v>145</v>
      </c>
      <c r="T9" s="324" t="s">
        <v>144</v>
      </c>
    </row>
    <row r="10" spans="1:20" s="295" customFormat="1" x14ac:dyDescent="0.4">
      <c r="A10" s="292"/>
      <c r="B10" s="292" t="s">
        <v>146</v>
      </c>
      <c r="C10" s="292" t="s">
        <v>146</v>
      </c>
      <c r="D10" s="292"/>
      <c r="E10" s="292" t="s">
        <v>147</v>
      </c>
      <c r="F10" s="292" t="s">
        <v>5</v>
      </c>
      <c r="G10" s="292"/>
      <c r="H10" s="292" t="s">
        <v>148</v>
      </c>
      <c r="I10" s="292" t="s">
        <v>149</v>
      </c>
      <c r="J10" s="292" t="s">
        <v>146</v>
      </c>
      <c r="K10" s="292" t="s">
        <v>146</v>
      </c>
      <c r="L10" s="292"/>
      <c r="M10" s="292" t="s">
        <v>147</v>
      </c>
      <c r="N10" s="292" t="s">
        <v>5</v>
      </c>
      <c r="O10" s="320"/>
      <c r="P10" s="292" t="s">
        <v>148</v>
      </c>
      <c r="Q10" s="292" t="s">
        <v>149</v>
      </c>
      <c r="R10" s="376" t="s">
        <v>5</v>
      </c>
      <c r="S10" s="42" t="s">
        <v>148</v>
      </c>
      <c r="T10" s="42" t="s">
        <v>149</v>
      </c>
    </row>
    <row r="11" spans="1:20" s="295" customFormat="1" x14ac:dyDescent="0.4">
      <c r="A11" s="292"/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320"/>
      <c r="P11" s="292"/>
      <c r="Q11" s="292"/>
      <c r="R11" s="376" t="s">
        <v>182</v>
      </c>
      <c r="S11" s="42" t="s">
        <v>182</v>
      </c>
      <c r="T11" s="42" t="s">
        <v>182</v>
      </c>
    </row>
    <row r="12" spans="1:20" s="295" customFormat="1" x14ac:dyDescent="0.4">
      <c r="A12" s="292"/>
      <c r="B12" s="292"/>
      <c r="C12" s="292"/>
      <c r="D12" s="292"/>
      <c r="E12" s="292"/>
      <c r="F12" s="292"/>
      <c r="G12" s="292"/>
      <c r="H12" s="292"/>
      <c r="I12" s="292"/>
      <c r="J12" s="292"/>
      <c r="K12" s="292"/>
      <c r="L12" s="292"/>
      <c r="M12" s="292"/>
      <c r="N12" s="377"/>
      <c r="O12" s="320"/>
      <c r="P12" s="292"/>
      <c r="Q12" s="292"/>
      <c r="R12" s="376" t="s">
        <v>183</v>
      </c>
      <c r="S12" s="42" t="s">
        <v>183</v>
      </c>
      <c r="T12" s="42" t="s">
        <v>183</v>
      </c>
    </row>
    <row r="13" spans="1:20" s="295" customFormat="1" x14ac:dyDescent="0.4">
      <c r="A13" s="292"/>
      <c r="B13" s="292"/>
      <c r="C13" s="292"/>
      <c r="D13" s="292"/>
      <c r="E13" s="292"/>
      <c r="F13" s="292"/>
      <c r="G13" s="292"/>
      <c r="H13" s="292"/>
      <c r="I13" s="292"/>
      <c r="J13" s="292"/>
      <c r="K13" s="292"/>
      <c r="L13" s="292"/>
      <c r="M13" s="292"/>
      <c r="N13" s="377"/>
      <c r="O13" s="320"/>
      <c r="P13" s="292"/>
      <c r="Q13" s="292"/>
      <c r="R13" s="376"/>
      <c r="S13" s="42"/>
      <c r="T13" s="378"/>
    </row>
    <row r="14" spans="1:20" s="295" customFormat="1" ht="21" customHeight="1" x14ac:dyDescent="0.4">
      <c r="A14" s="325" t="s">
        <v>151</v>
      </c>
      <c r="B14" s="325" t="s">
        <v>152</v>
      </c>
      <c r="C14" s="325" t="s">
        <v>153</v>
      </c>
      <c r="D14" s="325" t="s">
        <v>154</v>
      </c>
      <c r="E14" s="325" t="s">
        <v>155</v>
      </c>
      <c r="F14" s="325" t="s">
        <v>156</v>
      </c>
      <c r="G14" s="325" t="s">
        <v>157</v>
      </c>
      <c r="H14" s="325" t="s">
        <v>158</v>
      </c>
      <c r="I14" s="325" t="s">
        <v>159</v>
      </c>
      <c r="J14" s="325" t="s">
        <v>160</v>
      </c>
      <c r="K14" s="325" t="s">
        <v>161</v>
      </c>
      <c r="L14" s="325" t="s">
        <v>162</v>
      </c>
      <c r="M14" s="325" t="s">
        <v>163</v>
      </c>
      <c r="N14" s="325" t="s">
        <v>184</v>
      </c>
      <c r="O14" s="323" t="s">
        <v>165</v>
      </c>
      <c r="P14" s="325" t="s">
        <v>166</v>
      </c>
      <c r="Q14" s="448" t="s">
        <v>167</v>
      </c>
      <c r="R14" s="445" t="s">
        <v>168</v>
      </c>
      <c r="S14" s="446" t="s">
        <v>169</v>
      </c>
      <c r="T14" s="446" t="s">
        <v>170</v>
      </c>
    </row>
    <row r="15" spans="1:20" x14ac:dyDescent="0.4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80"/>
      <c r="P15" s="344"/>
      <c r="Q15" s="379"/>
      <c r="R15" s="447" t="s">
        <v>171</v>
      </c>
      <c r="S15" s="442" t="s">
        <v>172</v>
      </c>
      <c r="T15" s="442" t="s">
        <v>173</v>
      </c>
    </row>
    <row r="16" spans="1:20" x14ac:dyDescent="0.4">
      <c r="A16" s="106" t="s">
        <v>301</v>
      </c>
      <c r="B16" s="383">
        <v>18951033.510000002</v>
      </c>
      <c r="C16" s="383">
        <v>138244.93</v>
      </c>
      <c r="D16" s="383">
        <v>1259755.31</v>
      </c>
      <c r="E16" s="383">
        <v>2719599.91</v>
      </c>
      <c r="F16" s="383">
        <f t="shared" ref="F16:F20" si="0">SUM(B16:E16)</f>
        <v>23068633.66</v>
      </c>
      <c r="G16" s="334">
        <v>867</v>
      </c>
      <c r="H16" s="298" t="s">
        <v>100</v>
      </c>
      <c r="I16" s="383">
        <f>+F16/G16</f>
        <v>26607.420599769321</v>
      </c>
      <c r="J16" s="49">
        <f>'ตารางที่ 5 ส่ง'!B8</f>
        <v>12488164.061156001</v>
      </c>
      <c r="K16" s="49">
        <f>'ตารางที่ 5 ส่ง'!C8</f>
        <v>25789.666280000001</v>
      </c>
      <c r="L16" s="49">
        <f>'ตารางที่ 5 ส่ง'!D8</f>
        <v>477245.277558</v>
      </c>
      <c r="M16" s="49">
        <f>'ตารางที่ 5 ส่ง'!E8</f>
        <v>1456029.0150909999</v>
      </c>
      <c r="N16" s="383">
        <f>SUM(J16:M16)</f>
        <v>14447228.020085001</v>
      </c>
      <c r="O16" s="384">
        <f>'ตารางที่ 5 ส่ง'!G8</f>
        <v>600</v>
      </c>
      <c r="P16" s="298" t="s">
        <v>100</v>
      </c>
      <c r="Q16" s="49">
        <f>+N16/O16</f>
        <v>24078.713366808337</v>
      </c>
      <c r="R16" s="528">
        <f t="shared" ref="R16:S29" si="1">SUM(N16-F16)*100/F16</f>
        <v>-37.372849068491377</v>
      </c>
      <c r="S16" s="528">
        <f t="shared" si="1"/>
        <v>-30.79584775086505</v>
      </c>
      <c r="T16" s="528">
        <f>(+Q16-I16)*100/I16</f>
        <v>-9.5037669039700408</v>
      </c>
    </row>
    <row r="17" spans="1:25" x14ac:dyDescent="0.4">
      <c r="A17" s="72" t="s">
        <v>197</v>
      </c>
      <c r="B17" s="49"/>
      <c r="C17" s="49"/>
      <c r="D17" s="49"/>
      <c r="E17" s="49"/>
      <c r="F17" s="383">
        <f t="shared" si="0"/>
        <v>0</v>
      </c>
      <c r="G17" s="334"/>
      <c r="H17" s="330"/>
      <c r="I17" s="383"/>
      <c r="J17" s="49">
        <f>'ตารางที่ 5 ส่ง'!B9</f>
        <v>4077767.8567040004</v>
      </c>
      <c r="K17" s="49">
        <f>'ตารางที่ 5 ส่ง'!C9</f>
        <v>8421.1155199999994</v>
      </c>
      <c r="L17" s="49">
        <f>'ตารางที่ 5 ส่ง'!D9</f>
        <v>155835.192672</v>
      </c>
      <c r="M17" s="49">
        <f>'ตารางที่ 5 ส่ง'!E9</f>
        <v>475438.045744</v>
      </c>
      <c r="N17" s="49">
        <f t="shared" ref="N17:N25" si="2">SUM(J17:M17)</f>
        <v>4717462.2106400002</v>
      </c>
      <c r="O17" s="384">
        <f>'ตารางที่ 5 ส่ง'!G9</f>
        <v>200</v>
      </c>
      <c r="P17" s="330" t="s">
        <v>100</v>
      </c>
      <c r="Q17" s="49">
        <f t="shared" ref="Q17:Q50" si="3">+N17/O17</f>
        <v>23587.311053199999</v>
      </c>
      <c r="R17" s="386">
        <v>0</v>
      </c>
      <c r="S17" s="386">
        <v>0</v>
      </c>
      <c r="T17" s="386">
        <v>0</v>
      </c>
      <c r="U17" s="80"/>
      <c r="V17" s="80"/>
      <c r="W17" s="47"/>
      <c r="X17" s="47"/>
      <c r="Y17" s="47"/>
    </row>
    <row r="18" spans="1:25" x14ac:dyDescent="0.4">
      <c r="A18" s="106" t="s">
        <v>198</v>
      </c>
      <c r="B18" s="387">
        <v>425640212.69</v>
      </c>
      <c r="C18" s="387">
        <v>3104981.16</v>
      </c>
      <c r="D18" s="387">
        <v>28294104.329999998</v>
      </c>
      <c r="E18" s="387">
        <v>61082213.939999998</v>
      </c>
      <c r="F18" s="388">
        <f>SUM(B18:E18)</f>
        <v>518121512.12</v>
      </c>
      <c r="G18" s="389">
        <v>100038</v>
      </c>
      <c r="H18" s="390" t="s">
        <v>100</v>
      </c>
      <c r="I18" s="383">
        <f>+F18/G18</f>
        <v>5179.2470073372115</v>
      </c>
      <c r="J18" s="387">
        <f>'ตารางที่ 5 ส่ง'!B10</f>
        <v>393759458.66297996</v>
      </c>
      <c r="K18" s="387">
        <f>'ตารางที่ 5 ส่ง'!C10</f>
        <v>813163.96739999996</v>
      </c>
      <c r="L18" s="387">
        <f>'ตารางที่ 5 ส่ง'!D10</f>
        <v>15047835.792389998</v>
      </c>
      <c r="M18" s="387">
        <f>'ตารางที่ 5 ส่ง'!E10</f>
        <v>45909486.29215499</v>
      </c>
      <c r="N18" s="49">
        <f t="shared" si="2"/>
        <v>455529944.71492493</v>
      </c>
      <c r="O18" s="384">
        <v>103461</v>
      </c>
      <c r="P18" s="390" t="s">
        <v>100</v>
      </c>
      <c r="Q18" s="49">
        <f t="shared" si="3"/>
        <v>4402.9145737517028</v>
      </c>
      <c r="R18" s="528">
        <f>+(N18-F18)*100/F18</f>
        <v>-12.080480339248778</v>
      </c>
      <c r="S18" s="528">
        <f>+(O18-G18)*100/G18</f>
        <v>3.4216997540934444</v>
      </c>
      <c r="T18" s="528">
        <f>+(Q18-I18)*100/I18</f>
        <v>-14.989291541525487</v>
      </c>
      <c r="U18" s="80"/>
      <c r="V18" s="80"/>
      <c r="W18" s="47"/>
      <c r="X18" s="47"/>
      <c r="Y18" s="47"/>
    </row>
    <row r="19" spans="1:25" x14ac:dyDescent="0.4">
      <c r="A19" s="106" t="s">
        <v>199</v>
      </c>
      <c r="B19" s="49"/>
      <c r="C19" s="49"/>
      <c r="D19" s="49"/>
      <c r="E19" s="49"/>
      <c r="F19" s="383">
        <f t="shared" si="0"/>
        <v>0</v>
      </c>
      <c r="G19" s="334"/>
      <c r="H19" s="330"/>
      <c r="I19" s="383"/>
      <c r="J19" s="49">
        <f>'ตารางที่ 5 ส่ง'!B11</f>
        <v>48933214.280447997</v>
      </c>
      <c r="K19" s="49">
        <f>'ตารางที่ 5 ส่ง'!C11</f>
        <v>101053.38623999999</v>
      </c>
      <c r="L19" s="49">
        <f>'ตารางที่ 5 ส่ง'!D11</f>
        <v>1870022.3120640002</v>
      </c>
      <c r="M19" s="49">
        <f>'ตารางที่ 5 ส่ง'!E11</f>
        <v>5705256.548928</v>
      </c>
      <c r="N19" s="49">
        <f t="shared" si="2"/>
        <v>56609546.527679995</v>
      </c>
      <c r="O19" s="384">
        <v>14136</v>
      </c>
      <c r="P19" s="330" t="s">
        <v>100</v>
      </c>
      <c r="Q19" s="49">
        <f t="shared" si="3"/>
        <v>4004.6368511375208</v>
      </c>
      <c r="R19" s="386">
        <v>0</v>
      </c>
      <c r="S19" s="386">
        <v>0</v>
      </c>
      <c r="T19" s="386">
        <v>0</v>
      </c>
      <c r="U19" s="80"/>
      <c r="V19" s="80"/>
      <c r="W19" s="47"/>
      <c r="X19" s="47"/>
      <c r="Y19" s="47"/>
    </row>
    <row r="20" spans="1:25" s="51" customFormat="1" x14ac:dyDescent="0.4">
      <c r="A20" s="106" t="s">
        <v>200</v>
      </c>
      <c r="B20" s="49"/>
      <c r="C20" s="49"/>
      <c r="D20" s="49"/>
      <c r="E20" s="49"/>
      <c r="F20" s="383">
        <f t="shared" si="0"/>
        <v>0</v>
      </c>
      <c r="G20" s="334"/>
      <c r="H20" s="330"/>
      <c r="I20" s="383"/>
      <c r="J20" s="49">
        <f>'ตารางที่ 5 ส่ง'!B12</f>
        <v>159032946.41145602</v>
      </c>
      <c r="K20" s="49">
        <f>'ตารางที่ 5 ส่ง'!C12</f>
        <v>328423.50527999998</v>
      </c>
      <c r="L20" s="49">
        <f>'ตารางที่ 5 ส่ง'!D12</f>
        <v>6077572.5142080011</v>
      </c>
      <c r="M20" s="49">
        <f>'ตารางที่ 5 ส่ง'!E12</f>
        <v>18542083.784015998</v>
      </c>
      <c r="N20" s="49">
        <f t="shared" si="2"/>
        <v>183981026.21495998</v>
      </c>
      <c r="O20" s="384">
        <v>10939</v>
      </c>
      <c r="P20" s="330" t="s">
        <v>100</v>
      </c>
      <c r="Q20" s="49">
        <f t="shared" si="3"/>
        <v>16818.815816341528</v>
      </c>
      <c r="R20" s="386">
        <v>0</v>
      </c>
      <c r="S20" s="386">
        <v>0</v>
      </c>
      <c r="T20" s="386">
        <v>0</v>
      </c>
      <c r="U20" s="80"/>
      <c r="V20" s="80"/>
      <c r="W20" s="36"/>
      <c r="X20" s="36"/>
      <c r="Y20" s="36"/>
    </row>
    <row r="21" spans="1:25" x14ac:dyDescent="0.4">
      <c r="A21" s="147" t="s">
        <v>201</v>
      </c>
      <c r="B21" s="573"/>
      <c r="C21" s="573"/>
      <c r="D21" s="573"/>
      <c r="E21" s="573"/>
      <c r="F21" s="597">
        <f>SUM(B21:E21)</f>
        <v>0</v>
      </c>
      <c r="G21" s="567"/>
      <c r="H21" s="572"/>
      <c r="I21" s="597"/>
      <c r="J21" s="573">
        <f>'ตารางที่ 5 ส่ง'!B13</f>
        <v>764581.47313199996</v>
      </c>
      <c r="K21" s="573">
        <f>'ตารางที่ 5 ส่ง'!C13</f>
        <v>1578.9591599999999</v>
      </c>
      <c r="L21" s="573">
        <f>'ตารางที่ 5 ส่ง'!D13</f>
        <v>29219.098626000003</v>
      </c>
      <c r="M21" s="573">
        <f>'ตารางที่ 5 ส่ง'!E13</f>
        <v>89144.633577000001</v>
      </c>
      <c r="N21" s="573">
        <f t="shared" si="2"/>
        <v>884524.16449499992</v>
      </c>
      <c r="O21" s="567">
        <v>60</v>
      </c>
      <c r="P21" s="572" t="s">
        <v>101</v>
      </c>
      <c r="Q21" s="573">
        <f t="shared" si="3"/>
        <v>14742.069408249999</v>
      </c>
      <c r="R21" s="598">
        <v>0</v>
      </c>
      <c r="S21" s="598">
        <v>0</v>
      </c>
      <c r="T21" s="598">
        <v>0</v>
      </c>
      <c r="U21" s="80"/>
      <c r="V21" s="80"/>
      <c r="W21" s="47"/>
      <c r="X21" s="47"/>
      <c r="Y21" s="47"/>
    </row>
    <row r="22" spans="1:25" x14ac:dyDescent="0.4">
      <c r="A22" s="146" t="s">
        <v>113</v>
      </c>
      <c r="B22" s="596"/>
      <c r="C22" s="596"/>
      <c r="D22" s="596"/>
      <c r="E22" s="596"/>
      <c r="F22" s="596"/>
      <c r="G22" s="570"/>
      <c r="H22" s="570"/>
      <c r="I22" s="574"/>
      <c r="J22" s="596"/>
      <c r="K22" s="596"/>
      <c r="L22" s="596"/>
      <c r="M22" s="596"/>
      <c r="N22" s="596"/>
      <c r="O22" s="570"/>
      <c r="P22" s="570"/>
      <c r="Q22" s="596"/>
      <c r="R22" s="599"/>
      <c r="S22" s="599"/>
      <c r="T22" s="599"/>
      <c r="U22" s="80"/>
      <c r="V22" s="80"/>
      <c r="W22" s="47"/>
      <c r="X22" s="47"/>
      <c r="Y22" s="47"/>
    </row>
    <row r="23" spans="1:25" s="51" customFormat="1" ht="36.6" x14ac:dyDescent="0.4">
      <c r="A23" s="106" t="s">
        <v>119</v>
      </c>
      <c r="B23" s="349"/>
      <c r="C23" s="349"/>
      <c r="D23" s="349"/>
      <c r="E23" s="349"/>
      <c r="F23" s="391">
        <f t="shared" ref="F23:F37" si="4">SUM(B23:E23)</f>
        <v>0</v>
      </c>
      <c r="G23" s="347"/>
      <c r="H23" s="348"/>
      <c r="I23" s="391"/>
      <c r="J23" s="349">
        <f>'ตารางที่ 5 ส่ง'!B15</f>
        <v>6371512.2761000004</v>
      </c>
      <c r="K23" s="349">
        <f>'ตารางที่ 5 ส่ง'!C15</f>
        <v>13157.993</v>
      </c>
      <c r="L23" s="349">
        <f>'ตารางที่ 5 ส่ง'!D15</f>
        <v>243492.48855000001</v>
      </c>
      <c r="M23" s="349">
        <f>'ตารางที่ 5 ส่ง'!E15</f>
        <v>742871.94647499989</v>
      </c>
      <c r="N23" s="349">
        <f t="shared" si="2"/>
        <v>7371034.7041250002</v>
      </c>
      <c r="O23" s="347">
        <v>10</v>
      </c>
      <c r="P23" s="348" t="s">
        <v>102</v>
      </c>
      <c r="Q23" s="349">
        <f t="shared" si="3"/>
        <v>737103.47041249997</v>
      </c>
      <c r="R23" s="393">
        <v>0</v>
      </c>
      <c r="S23" s="393">
        <v>0</v>
      </c>
      <c r="T23" s="393">
        <v>0</v>
      </c>
      <c r="U23" s="80"/>
      <c r="V23" s="80"/>
      <c r="W23" s="36"/>
      <c r="X23" s="36"/>
      <c r="Y23" s="36"/>
    </row>
    <row r="24" spans="1:25" s="51" customFormat="1" x14ac:dyDescent="0.4">
      <c r="A24" s="72" t="s">
        <v>202</v>
      </c>
      <c r="B24" s="49">
        <v>74098541.030000001</v>
      </c>
      <c r="C24" s="49">
        <v>540537.68000000005</v>
      </c>
      <c r="D24" s="49">
        <v>4925643.2699999996</v>
      </c>
      <c r="E24" s="49">
        <v>10633635.640000001</v>
      </c>
      <c r="F24" s="383">
        <f>SUM(B24:E24)</f>
        <v>90198357.620000005</v>
      </c>
      <c r="G24" s="334">
        <v>13750</v>
      </c>
      <c r="H24" s="330" t="s">
        <v>99</v>
      </c>
      <c r="I24" s="383">
        <f t="shared" ref="I24:I39" si="5">+F24/G24</f>
        <v>6559.8805541818183</v>
      </c>
      <c r="J24" s="49">
        <f>'ตารางที่ 5 ส่ง'!B16</f>
        <v>62695680.796824001</v>
      </c>
      <c r="K24" s="49">
        <f>'ตารางที่ 5 ส่ง'!C16</f>
        <v>129474.65111999999</v>
      </c>
      <c r="L24" s="49">
        <f>'ตารางที่ 5 ส่ง'!D16</f>
        <v>2395966.087332</v>
      </c>
      <c r="M24" s="49">
        <f>'ตารางที่ 5 ส่ง'!E16</f>
        <v>7309859.9533139989</v>
      </c>
      <c r="N24" s="49">
        <f t="shared" si="2"/>
        <v>72530981.488590002</v>
      </c>
      <c r="O24" s="334">
        <v>12479</v>
      </c>
      <c r="P24" s="330" t="s">
        <v>100</v>
      </c>
      <c r="Q24" s="49">
        <f t="shared" si="3"/>
        <v>5812.2430874741567</v>
      </c>
      <c r="R24" s="528">
        <f t="shared" si="1"/>
        <v>-19.587248146847134</v>
      </c>
      <c r="S24" s="528">
        <f t="shared" si="1"/>
        <v>-9.2436363636363641</v>
      </c>
      <c r="T24" s="528">
        <f t="shared" ref="T24:T38" si="6">SUM(Q24-I24)*100/I24</f>
        <v>-11.397120123339056</v>
      </c>
      <c r="U24" s="80"/>
      <c r="V24" s="80"/>
      <c r="W24" s="36"/>
      <c r="X24" s="36"/>
      <c r="Y24" s="36"/>
    </row>
    <row r="25" spans="1:25" s="51" customFormat="1" x14ac:dyDescent="0.4">
      <c r="A25" s="106" t="s">
        <v>203</v>
      </c>
      <c r="B25" s="49">
        <v>61780369.25</v>
      </c>
      <c r="C25" s="49">
        <v>450678.48</v>
      </c>
      <c r="D25" s="49">
        <v>4106802.32</v>
      </c>
      <c r="E25" s="49">
        <v>8865895.6999999993</v>
      </c>
      <c r="F25" s="383">
        <f>SUM(B25:E25)</f>
        <v>75203745.75</v>
      </c>
      <c r="G25" s="334">
        <v>19559</v>
      </c>
      <c r="H25" s="330" t="s">
        <v>100</v>
      </c>
      <c r="I25" s="383">
        <f t="shared" si="5"/>
        <v>3844.9688506569864</v>
      </c>
      <c r="J25" s="49">
        <f>'ตารางที่ 5 ส่ง'!B17</f>
        <v>46384609.370007999</v>
      </c>
      <c r="K25" s="49">
        <f>'ตารางที่ 5 ส่ง'!C17</f>
        <v>95790.189040000012</v>
      </c>
      <c r="L25" s="49">
        <f>'ตารางที่ 5 ส่ง'!D17</f>
        <v>1772625.3166440001</v>
      </c>
      <c r="M25" s="49">
        <f>'ตารางที่ 5 ส่ง'!E17</f>
        <v>5408107.7703379998</v>
      </c>
      <c r="N25" s="49">
        <f t="shared" si="2"/>
        <v>53661132.646029994</v>
      </c>
      <c r="O25" s="334">
        <v>11869</v>
      </c>
      <c r="P25" s="330" t="s">
        <v>100</v>
      </c>
      <c r="Q25" s="49">
        <f t="shared" si="3"/>
        <v>4521.1165764622119</v>
      </c>
      <c r="R25" s="528">
        <f t="shared" si="1"/>
        <v>-28.645665038526367</v>
      </c>
      <c r="S25" s="528">
        <f t="shared" si="1"/>
        <v>-39.31693849378803</v>
      </c>
      <c r="T25" s="528">
        <f t="shared" si="6"/>
        <v>17.585258868604168</v>
      </c>
      <c r="U25" s="80"/>
      <c r="V25" s="80"/>
      <c r="W25" s="36"/>
      <c r="X25" s="36"/>
      <c r="Y25" s="36"/>
    </row>
    <row r="26" spans="1:25" x14ac:dyDescent="0.4">
      <c r="A26" s="72" t="s">
        <v>114</v>
      </c>
      <c r="B26" s="49"/>
      <c r="C26" s="49"/>
      <c r="D26" s="49"/>
      <c r="E26" s="49"/>
      <c r="F26" s="49">
        <v>0</v>
      </c>
      <c r="G26" s="49"/>
      <c r="H26" s="49"/>
      <c r="I26" s="49"/>
      <c r="J26" s="49">
        <f>'ตารางที่ 5 ส่ง'!B18</f>
        <v>1274302.4552200001</v>
      </c>
      <c r="K26" s="49">
        <f>'ตารางที่ 5 ส่ง'!C18</f>
        <v>2631.5986000000003</v>
      </c>
      <c r="L26" s="49">
        <f>'ตารางที่ 5 ส่ง'!D18</f>
        <v>48698.497710000003</v>
      </c>
      <c r="M26" s="49">
        <f>'ตารางที่ 5 ส่ง'!E18</f>
        <v>148574.389295</v>
      </c>
      <c r="N26" s="49">
        <f t="shared" ref="N26:N44" si="7">SUM(J26:M26)</f>
        <v>1474206.9408249999</v>
      </c>
      <c r="O26" s="334">
        <v>3</v>
      </c>
      <c r="P26" s="330" t="s">
        <v>104</v>
      </c>
      <c r="Q26" s="49">
        <f t="shared" si="3"/>
        <v>491402.31360833329</v>
      </c>
      <c r="R26" s="386">
        <v>0</v>
      </c>
      <c r="S26" s="386">
        <v>0</v>
      </c>
      <c r="T26" s="386">
        <v>0</v>
      </c>
      <c r="U26" s="80"/>
      <c r="V26" s="80"/>
      <c r="W26" s="47"/>
      <c r="X26" s="47"/>
      <c r="Y26" s="47"/>
    </row>
    <row r="27" spans="1:25" ht="36.6" x14ac:dyDescent="0.4">
      <c r="A27" s="106" t="s">
        <v>115</v>
      </c>
      <c r="B27" s="349">
        <v>13834254.460000001</v>
      </c>
      <c r="C27" s="349">
        <v>100918.8</v>
      </c>
      <c r="D27" s="349">
        <v>919621.38</v>
      </c>
      <c r="E27" s="349">
        <v>1985307.93</v>
      </c>
      <c r="F27" s="391">
        <f t="shared" si="4"/>
        <v>16840102.570000004</v>
      </c>
      <c r="G27" s="347">
        <v>1235</v>
      </c>
      <c r="H27" s="348" t="s">
        <v>100</v>
      </c>
      <c r="I27" s="391">
        <f>+F27/G27</f>
        <v>13635.710582995955</v>
      </c>
      <c r="J27" s="349">
        <f>'ตารางที่ 5 ส่ง'!B19</f>
        <v>8920117.1865400001</v>
      </c>
      <c r="K27" s="349">
        <f>'ตารางที่ 5 ส่ง'!C19</f>
        <v>18421.190200000001</v>
      </c>
      <c r="L27" s="349">
        <f>'ตารางที่ 5 ส่ง'!D19</f>
        <v>340889.48397</v>
      </c>
      <c r="M27" s="349">
        <f>'ตารางที่ 5 ส่ง'!E19</f>
        <v>1040020.7250649999</v>
      </c>
      <c r="N27" s="349">
        <f t="shared" si="7"/>
        <v>10319448.585774999</v>
      </c>
      <c r="O27" s="347">
        <v>25924</v>
      </c>
      <c r="P27" s="348" t="s">
        <v>100</v>
      </c>
      <c r="Q27" s="349">
        <f t="shared" si="3"/>
        <v>398.06544459863443</v>
      </c>
      <c r="R27" s="530">
        <f t="shared" ref="R27" si="8">SUM(N27-F27)*100/F27</f>
        <v>-38.720987340310501</v>
      </c>
      <c r="S27" s="530">
        <f t="shared" ref="S27" si="9">SUM(O27-G27)*100/G27</f>
        <v>1999.1093117408907</v>
      </c>
      <c r="T27" s="530">
        <f t="shared" ref="T27" si="10">SUM(Q27-I27)*100/I27</f>
        <v>-97.080713599956923</v>
      </c>
      <c r="U27" s="80"/>
      <c r="V27" s="80"/>
      <c r="W27" s="47"/>
      <c r="X27" s="47"/>
      <c r="Y27" s="47"/>
    </row>
    <row r="28" spans="1:25" s="51" customFormat="1" x14ac:dyDescent="0.4">
      <c r="A28" s="106" t="s">
        <v>204</v>
      </c>
      <c r="B28" s="49"/>
      <c r="C28" s="49"/>
      <c r="D28" s="49"/>
      <c r="E28" s="49"/>
      <c r="F28" s="383"/>
      <c r="G28" s="334"/>
      <c r="H28" s="330"/>
      <c r="I28" s="383"/>
      <c r="J28" s="49">
        <f>'ตารางที่ 5 ส่ง'!B20</f>
        <v>13762466.516376002</v>
      </c>
      <c r="K28" s="49">
        <f>'ตารางที่ 5 ส่ง'!C20</f>
        <v>28421.264880000002</v>
      </c>
      <c r="L28" s="49">
        <f>'ตารางที่ 5 ส่ง'!D20</f>
        <v>525943.77526800008</v>
      </c>
      <c r="M28" s="49">
        <f>'ตารางที่ 5 ส่ง'!E20</f>
        <v>1604603.404386</v>
      </c>
      <c r="N28" s="49">
        <f t="shared" si="7"/>
        <v>15921434.960910002</v>
      </c>
      <c r="O28" s="334">
        <v>4063</v>
      </c>
      <c r="P28" s="330" t="s">
        <v>99</v>
      </c>
      <c r="Q28" s="49">
        <f t="shared" si="3"/>
        <v>3918.6401577430474</v>
      </c>
      <c r="R28" s="386">
        <v>0</v>
      </c>
      <c r="S28" s="386">
        <v>0</v>
      </c>
      <c r="T28" s="386">
        <v>0</v>
      </c>
      <c r="U28" s="80"/>
      <c r="V28" s="80"/>
      <c r="W28" s="36"/>
      <c r="X28" s="36"/>
      <c r="Y28" s="36"/>
    </row>
    <row r="29" spans="1:25" s="51" customFormat="1" x14ac:dyDescent="0.4">
      <c r="A29" s="106" t="s">
        <v>205</v>
      </c>
      <c r="B29" s="49">
        <v>111621587.39</v>
      </c>
      <c r="C29" s="49">
        <v>814262.65</v>
      </c>
      <c r="D29" s="49">
        <v>7419958.79</v>
      </c>
      <c r="E29" s="49">
        <v>16018443.460000001</v>
      </c>
      <c r="F29" s="383">
        <f>SUM(B29:E29)</f>
        <v>135874252.29000002</v>
      </c>
      <c r="G29" s="334">
        <v>77344</v>
      </c>
      <c r="H29" s="330" t="s">
        <v>100</v>
      </c>
      <c r="I29" s="383">
        <f t="shared" si="5"/>
        <v>1756.7523310146878</v>
      </c>
      <c r="J29" s="49">
        <f>'ตารางที่ 5 ส่ง'!B21</f>
        <v>204398113.81728798</v>
      </c>
      <c r="K29" s="49">
        <f>'ตารางที่ 5 ส่ง'!C21</f>
        <v>422108.41544000001</v>
      </c>
      <c r="L29" s="49">
        <f>'ตารางที่ 5 ส่ง'!D21</f>
        <v>7811239.0326839993</v>
      </c>
      <c r="M29" s="49">
        <f>'ตารางที่ 5 ส่ง'!E21</f>
        <v>23831332.042917997</v>
      </c>
      <c r="N29" s="49">
        <f t="shared" si="7"/>
        <v>236462793.30832997</v>
      </c>
      <c r="O29" s="334">
        <v>36832</v>
      </c>
      <c r="P29" s="330" t="s">
        <v>100</v>
      </c>
      <c r="Q29" s="49">
        <f t="shared" si="3"/>
        <v>6420.0367427326773</v>
      </c>
      <c r="R29" s="528">
        <f t="shared" si="1"/>
        <v>74.030612366234891</v>
      </c>
      <c r="S29" s="528">
        <f t="shared" si="1"/>
        <v>-52.378982209350433</v>
      </c>
      <c r="T29" s="528">
        <f t="shared" si="6"/>
        <v>265.44916602014746</v>
      </c>
      <c r="U29" s="80"/>
      <c r="V29" s="80"/>
      <c r="W29" s="36"/>
      <c r="X29" s="36"/>
      <c r="Y29" s="36"/>
    </row>
    <row r="30" spans="1:25" s="51" customFormat="1" x14ac:dyDescent="0.4">
      <c r="A30" s="72" t="s">
        <v>206</v>
      </c>
      <c r="B30" s="49"/>
      <c r="C30" s="49"/>
      <c r="D30" s="49"/>
      <c r="E30" s="49"/>
      <c r="F30" s="383">
        <f t="shared" si="4"/>
        <v>0</v>
      </c>
      <c r="G30" s="334"/>
      <c r="H30" s="330"/>
      <c r="I30" s="383"/>
      <c r="J30" s="49">
        <f>'ตารางที่ 5 ส่ง'!B22</f>
        <v>3313186.3835720001</v>
      </c>
      <c r="K30" s="49">
        <f>'ตารางที่ 5 ส่ง'!C22</f>
        <v>6842.1563600000009</v>
      </c>
      <c r="L30" s="49">
        <f>'ตารางที่ 5 ส่ง'!D22</f>
        <v>126616.094046</v>
      </c>
      <c r="M30" s="49">
        <f>'ตารางที่ 5 ส่ง'!E22</f>
        <v>386293.41216699994</v>
      </c>
      <c r="N30" s="49">
        <f t="shared" si="7"/>
        <v>3832938.046145</v>
      </c>
      <c r="O30" s="334">
        <v>129</v>
      </c>
      <c r="P30" s="330" t="s">
        <v>99</v>
      </c>
      <c r="Q30" s="49">
        <f t="shared" si="3"/>
        <v>29712.698032131782</v>
      </c>
      <c r="R30" s="386">
        <v>0</v>
      </c>
      <c r="S30" s="386">
        <v>0</v>
      </c>
      <c r="T30" s="386">
        <v>0</v>
      </c>
      <c r="U30" s="80"/>
      <c r="V30" s="80"/>
      <c r="W30" s="36"/>
      <c r="X30" s="36"/>
      <c r="Y30" s="36"/>
    </row>
    <row r="31" spans="1:25" s="51" customFormat="1" x14ac:dyDescent="0.4">
      <c r="A31" s="106" t="s">
        <v>207</v>
      </c>
      <c r="B31" s="49"/>
      <c r="C31" s="49"/>
      <c r="D31" s="49"/>
      <c r="E31" s="49"/>
      <c r="F31" s="383">
        <f t="shared" si="4"/>
        <v>0</v>
      </c>
      <c r="G31" s="334"/>
      <c r="H31" s="330"/>
      <c r="I31" s="383"/>
      <c r="J31" s="49">
        <f>'ตารางที่ 5 ส่ง'!B23</f>
        <v>16056210.935772</v>
      </c>
      <c r="K31" s="49">
        <f>'ตารางที่ 5 ส่ง'!C23</f>
        <v>33158.142359999998</v>
      </c>
      <c r="L31" s="49">
        <f>'ตารางที่ 5 ส่ง'!D23</f>
        <v>613601.07114600006</v>
      </c>
      <c r="M31" s="49">
        <f>'ตารางที่ 5 ส่ง'!E23</f>
        <v>1872037.3051169997</v>
      </c>
      <c r="N31" s="49">
        <f t="shared" si="7"/>
        <v>18575007.454395</v>
      </c>
      <c r="O31" s="334">
        <v>5071</v>
      </c>
      <c r="P31" s="330" t="s">
        <v>100</v>
      </c>
      <c r="Q31" s="49">
        <f t="shared" si="3"/>
        <v>3662.9870744222048</v>
      </c>
      <c r="R31" s="386">
        <v>0</v>
      </c>
      <c r="S31" s="386">
        <v>0</v>
      </c>
      <c r="T31" s="386">
        <v>0</v>
      </c>
      <c r="U31" s="80"/>
      <c r="V31" s="80"/>
      <c r="W31" s="36"/>
      <c r="X31" s="36"/>
      <c r="Y31" s="36"/>
    </row>
    <row r="32" spans="1:25" s="51" customFormat="1" x14ac:dyDescent="0.4">
      <c r="A32" s="72" t="s">
        <v>120</v>
      </c>
      <c r="B32" s="49"/>
      <c r="C32" s="49"/>
      <c r="D32" s="49"/>
      <c r="E32" s="49"/>
      <c r="F32" s="383">
        <f t="shared" si="4"/>
        <v>0</v>
      </c>
      <c r="G32" s="334"/>
      <c r="H32" s="330"/>
      <c r="I32" s="383"/>
      <c r="J32" s="49">
        <f>'ตารางที่ 5 ส่ง'!B24</f>
        <v>6626372.7671440002</v>
      </c>
      <c r="K32" s="49">
        <f>'ตารางที่ 5 ส่ง'!C24</f>
        <v>13684.312720000002</v>
      </c>
      <c r="L32" s="49">
        <f>'ตารางที่ 5 ส่ง'!D24</f>
        <v>253232.188092</v>
      </c>
      <c r="M32" s="49">
        <f>'ตารางที่ 5 ส่ง'!E24</f>
        <v>772586.82433399989</v>
      </c>
      <c r="N32" s="49">
        <f t="shared" si="7"/>
        <v>7665876.0922900001</v>
      </c>
      <c r="O32" s="334">
        <v>246</v>
      </c>
      <c r="P32" s="330" t="s">
        <v>100</v>
      </c>
      <c r="Q32" s="49">
        <f t="shared" si="3"/>
        <v>31162.097936138212</v>
      </c>
      <c r="R32" s="386">
        <v>0</v>
      </c>
      <c r="S32" s="386">
        <v>0</v>
      </c>
      <c r="T32" s="386">
        <v>0</v>
      </c>
      <c r="U32" s="80"/>
      <c r="V32" s="80"/>
      <c r="W32" s="36"/>
      <c r="X32" s="36"/>
      <c r="Y32" s="36"/>
    </row>
    <row r="33" spans="1:25" s="51" customFormat="1" x14ac:dyDescent="0.4">
      <c r="A33" s="72" t="s">
        <v>208</v>
      </c>
      <c r="B33" s="49">
        <v>31648225.969999999</v>
      </c>
      <c r="C33" s="49">
        <v>230869.04</v>
      </c>
      <c r="D33" s="49">
        <v>2103791.37</v>
      </c>
      <c r="E33" s="49">
        <v>4541731.8499999996</v>
      </c>
      <c r="F33" s="383">
        <f>SUM(B33:E33)</f>
        <v>38524618.229999997</v>
      </c>
      <c r="G33" s="334">
        <v>2429</v>
      </c>
      <c r="H33" s="330" t="s">
        <v>100</v>
      </c>
      <c r="I33" s="383">
        <f t="shared" si="5"/>
        <v>15860.279221902016</v>
      </c>
      <c r="J33" s="49">
        <f>'ตารางที่ 5 ส่ง'!B25</f>
        <v>27524933.032752004</v>
      </c>
      <c r="K33" s="49">
        <f>'ตารางที่ 5 ส่ง'!C25</f>
        <v>56842.529760000005</v>
      </c>
      <c r="L33" s="49">
        <f>'ตารางที่ 5 ส่ง'!D25</f>
        <v>1051887.5505360002</v>
      </c>
      <c r="M33" s="49">
        <f>'ตารางที่ 5 ส่ง'!E25</f>
        <v>3209206.808772</v>
      </c>
      <c r="N33" s="49">
        <f t="shared" si="7"/>
        <v>31842869.921820004</v>
      </c>
      <c r="O33" s="334">
        <v>2003</v>
      </c>
      <c r="P33" s="330" t="s">
        <v>100</v>
      </c>
      <c r="Q33" s="49">
        <f t="shared" si="3"/>
        <v>15897.588578042938</v>
      </c>
      <c r="R33" s="528">
        <f t="shared" ref="R33:S38" si="11">SUM(N33-F33)*100/F33</f>
        <v>-17.344099994161045</v>
      </c>
      <c r="S33" s="528">
        <f t="shared" si="11"/>
        <v>-17.538081515026761</v>
      </c>
      <c r="T33" s="528">
        <f t="shared" si="6"/>
        <v>0.23523770054060913</v>
      </c>
      <c r="U33" s="80"/>
      <c r="V33" s="80"/>
      <c r="W33" s="36"/>
      <c r="X33" s="36"/>
      <c r="Y33" s="36"/>
    </row>
    <row r="34" spans="1:25" s="51" customFormat="1" hidden="1" x14ac:dyDescent="0.4">
      <c r="A34" s="107" t="s">
        <v>209</v>
      </c>
      <c r="B34" s="49"/>
      <c r="C34" s="49"/>
      <c r="D34" s="49"/>
      <c r="E34" s="49"/>
      <c r="F34" s="49">
        <v>0</v>
      </c>
      <c r="G34" s="49"/>
      <c r="H34" s="49"/>
      <c r="I34" s="49">
        <v>0</v>
      </c>
      <c r="J34" s="49">
        <f>'ตารางที่ 5 ส่ง'!B26</f>
        <v>0</v>
      </c>
      <c r="K34" s="49">
        <f>'ตารางที่ 5 ส่ง'!C26</f>
        <v>0</v>
      </c>
      <c r="L34" s="49">
        <f>'ตารางที่ 5 ส่ง'!D26</f>
        <v>0</v>
      </c>
      <c r="M34" s="49">
        <f>'ตารางที่ 5 ส่ง'!E26</f>
        <v>0</v>
      </c>
      <c r="N34" s="49">
        <f t="shared" si="7"/>
        <v>0</v>
      </c>
      <c r="O34" s="334"/>
      <c r="P34" s="330"/>
      <c r="Q34" s="49"/>
      <c r="R34" s="528">
        <v>0</v>
      </c>
      <c r="S34" s="528">
        <v>0</v>
      </c>
      <c r="T34" s="528">
        <v>0</v>
      </c>
      <c r="U34" s="80"/>
      <c r="V34" s="80"/>
      <c r="W34" s="36"/>
      <c r="X34" s="36"/>
      <c r="Y34" s="36"/>
    </row>
    <row r="35" spans="1:25" s="51" customFormat="1" x14ac:dyDescent="0.4">
      <c r="A35" s="72" t="s">
        <v>346</v>
      </c>
      <c r="B35" s="49">
        <v>39797170.380000003</v>
      </c>
      <c r="C35" s="49">
        <v>290314.36</v>
      </c>
      <c r="D35" s="49">
        <v>2645486.16</v>
      </c>
      <c r="E35" s="49">
        <v>5711159.8099999996</v>
      </c>
      <c r="F35" s="383">
        <f t="shared" si="4"/>
        <v>48444130.710000008</v>
      </c>
      <c r="G35" s="334">
        <v>15</v>
      </c>
      <c r="H35" s="330" t="s">
        <v>101</v>
      </c>
      <c r="I35" s="383">
        <f t="shared" si="5"/>
        <v>3229608.7140000006</v>
      </c>
      <c r="J35" s="49">
        <f>'ตารางที่ 5 ส่ง'!B27</f>
        <v>36445050.219292</v>
      </c>
      <c r="K35" s="49">
        <f>'ตารางที่ 5 ส่ง'!C27</f>
        <v>75263.719960000002</v>
      </c>
      <c r="L35" s="49">
        <f>'ตารางที่ 5 ส่ง'!D27</f>
        <v>1392777.0345059999</v>
      </c>
      <c r="M35" s="49">
        <f>'ตารางที่ 5 ส่ง'!E27</f>
        <v>4249227.5338369999</v>
      </c>
      <c r="N35" s="49">
        <f t="shared" si="7"/>
        <v>42162318.507594995</v>
      </c>
      <c r="O35" s="334">
        <v>35</v>
      </c>
      <c r="P35" s="330" t="s">
        <v>101</v>
      </c>
      <c r="Q35" s="49">
        <f t="shared" si="3"/>
        <v>1204637.6716455712</v>
      </c>
      <c r="R35" s="528">
        <f t="shared" si="11"/>
        <v>-12.967127514393191</v>
      </c>
      <c r="S35" s="528">
        <f t="shared" si="11"/>
        <v>133.33333333333334</v>
      </c>
      <c r="T35" s="528">
        <f t="shared" si="6"/>
        <v>-62.700197506168514</v>
      </c>
      <c r="U35" s="80"/>
      <c r="V35" s="80"/>
      <c r="W35" s="36"/>
      <c r="X35" s="36"/>
      <c r="Y35" s="36"/>
    </row>
    <row r="36" spans="1:25" s="51" customFormat="1" x14ac:dyDescent="0.4">
      <c r="A36" s="106" t="s">
        <v>347</v>
      </c>
      <c r="B36" s="49">
        <v>596010003.97000003</v>
      </c>
      <c r="C36" s="49">
        <v>4347803.09</v>
      </c>
      <c r="D36" s="49">
        <v>39619304.590000004</v>
      </c>
      <c r="E36" s="49">
        <v>85531417.120000005</v>
      </c>
      <c r="F36" s="383">
        <f t="shared" si="4"/>
        <v>725508528.7700001</v>
      </c>
      <c r="G36" s="334">
        <v>3978493</v>
      </c>
      <c r="H36" s="330" t="s">
        <v>100</v>
      </c>
      <c r="I36" s="383">
        <f t="shared" si="5"/>
        <v>182.35762354489503</v>
      </c>
      <c r="J36" s="49">
        <f>'ตารางที่ 5 ส่ง'!B28</f>
        <v>380251852.63764799</v>
      </c>
      <c r="K36" s="49">
        <f>'ตารางที่ 5 ส่ง'!C28</f>
        <v>785269.02224000008</v>
      </c>
      <c r="L36" s="49">
        <f>'ตารางที่ 5 ส่ง'!D28</f>
        <v>14531631.716663999</v>
      </c>
      <c r="M36" s="49">
        <f>'ตารางที่ 5 ส่ง'!E28</f>
        <v>44334597.765627995</v>
      </c>
      <c r="N36" s="49">
        <f t="shared" si="7"/>
        <v>439903351.14217997</v>
      </c>
      <c r="O36" s="334">
        <v>4391901</v>
      </c>
      <c r="P36" s="330" t="s">
        <v>100</v>
      </c>
      <c r="Q36" s="49">
        <f t="shared" si="3"/>
        <v>100.16240146173148</v>
      </c>
      <c r="R36" s="528">
        <f t="shared" ref="R36:R37" si="12">SUM(N36-F36)*100/F36</f>
        <v>-39.366205399683501</v>
      </c>
      <c r="S36" s="528">
        <f t="shared" ref="S36:S37" si="13">SUM(O36-G36)*100/G36</f>
        <v>10.391070186625941</v>
      </c>
      <c r="T36" s="528">
        <f t="shared" ref="T36:T37" si="14">SUM(Q36-I36)*100/I36</f>
        <v>-45.073641828265941</v>
      </c>
      <c r="U36" s="80"/>
      <c r="V36" s="80"/>
      <c r="W36" s="36"/>
      <c r="X36" s="36"/>
      <c r="Y36" s="36"/>
    </row>
    <row r="37" spans="1:25" s="51" customFormat="1" x14ac:dyDescent="0.4">
      <c r="A37" s="106" t="s">
        <v>348</v>
      </c>
      <c r="B37" s="49">
        <v>127540455.54000001</v>
      </c>
      <c r="C37" s="49">
        <v>930388.39</v>
      </c>
      <c r="D37" s="49">
        <v>8478153.2599999998</v>
      </c>
      <c r="E37" s="49">
        <v>18302907.379999999</v>
      </c>
      <c r="F37" s="383">
        <f t="shared" si="4"/>
        <v>155251904.56999999</v>
      </c>
      <c r="G37" s="334">
        <v>17</v>
      </c>
      <c r="H37" s="330" t="s">
        <v>102</v>
      </c>
      <c r="I37" s="383">
        <f t="shared" si="5"/>
        <v>9132464.9747058824</v>
      </c>
      <c r="J37" s="49">
        <f>'ตารางที่ 5 ส่ง'!B29</f>
        <v>112648337.041448</v>
      </c>
      <c r="K37" s="49">
        <f>'ตารางที่ 5 ส่ง'!C29</f>
        <v>232633.31624000001</v>
      </c>
      <c r="L37" s="49">
        <f>'ตารางที่ 5 ส่ง'!D29</f>
        <v>4304947.1975640003</v>
      </c>
      <c r="M37" s="49">
        <f>'ตารางที่ 5 ส่ง'!E29</f>
        <v>13133976.013677998</v>
      </c>
      <c r="N37" s="49">
        <f t="shared" si="7"/>
        <v>130319893.56893</v>
      </c>
      <c r="O37" s="334">
        <v>21</v>
      </c>
      <c r="P37" s="330" t="s">
        <v>102</v>
      </c>
      <c r="Q37" s="49">
        <f t="shared" si="3"/>
        <v>6205709.2175680948</v>
      </c>
      <c r="R37" s="528">
        <f t="shared" si="12"/>
        <v>-16.059069336459345</v>
      </c>
      <c r="S37" s="528">
        <f t="shared" si="13"/>
        <v>23.529411764705884</v>
      </c>
      <c r="T37" s="528">
        <f t="shared" si="14"/>
        <v>-32.047818034276617</v>
      </c>
      <c r="U37" s="80"/>
      <c r="V37" s="80"/>
      <c r="W37" s="36"/>
      <c r="X37" s="36"/>
      <c r="Y37" s="36"/>
    </row>
    <row r="38" spans="1:25" s="51" customFormat="1" x14ac:dyDescent="0.4">
      <c r="A38" s="72" t="s">
        <v>349</v>
      </c>
      <c r="B38" s="49">
        <v>3221675.7</v>
      </c>
      <c r="C38" s="49">
        <v>23501.64</v>
      </c>
      <c r="D38" s="49">
        <v>214158.4</v>
      </c>
      <c r="E38" s="49">
        <v>462331.98</v>
      </c>
      <c r="F38" s="383">
        <f>SUM(B38:E38)</f>
        <v>3921667.72</v>
      </c>
      <c r="G38" s="334">
        <v>61</v>
      </c>
      <c r="H38" s="330" t="s">
        <v>100</v>
      </c>
      <c r="I38" s="383">
        <f t="shared" si="5"/>
        <v>64289.634754098362</v>
      </c>
      <c r="J38" s="49">
        <f>'ตารางที่ 5 ส่ง'!B30</f>
        <v>3313186.3835720001</v>
      </c>
      <c r="K38" s="49">
        <f>'ตารางที่ 5 ส่ง'!C30</f>
        <v>6842.1563600000009</v>
      </c>
      <c r="L38" s="49">
        <f>'ตารางที่ 5 ส่ง'!D30</f>
        <v>126616.094046</v>
      </c>
      <c r="M38" s="49">
        <f>'ตารางที่ 5 ส่ง'!E30</f>
        <v>386293.41216699994</v>
      </c>
      <c r="N38" s="49">
        <f t="shared" si="7"/>
        <v>3832938.046145</v>
      </c>
      <c r="O38" s="334">
        <v>114</v>
      </c>
      <c r="P38" s="330" t="s">
        <v>100</v>
      </c>
      <c r="Q38" s="49">
        <f t="shared" si="3"/>
        <v>33622.263562675442</v>
      </c>
      <c r="R38" s="528">
        <f t="shared" si="11"/>
        <v>-2.2625495118439094</v>
      </c>
      <c r="S38" s="528">
        <f t="shared" si="11"/>
        <v>86.885245901639351</v>
      </c>
      <c r="T38" s="528">
        <f t="shared" si="6"/>
        <v>-47.701890528267349</v>
      </c>
      <c r="U38" s="80"/>
      <c r="V38" s="80"/>
      <c r="W38" s="36"/>
      <c r="X38" s="36"/>
      <c r="Y38" s="36"/>
    </row>
    <row r="39" spans="1:25" s="51" customFormat="1" ht="36.6" x14ac:dyDescent="0.4">
      <c r="A39" s="106" t="s">
        <v>350</v>
      </c>
      <c r="B39" s="349">
        <v>32974798.309999999</v>
      </c>
      <c r="C39" s="349">
        <v>240546.18</v>
      </c>
      <c r="D39" s="349">
        <v>2191974.2400000002</v>
      </c>
      <c r="E39" s="349">
        <v>4732103.84</v>
      </c>
      <c r="F39" s="391">
        <f>SUM(B39:E39)</f>
        <v>40139422.569999993</v>
      </c>
      <c r="G39" s="347">
        <v>3</v>
      </c>
      <c r="H39" s="348" t="s">
        <v>123</v>
      </c>
      <c r="I39" s="391">
        <f t="shared" si="5"/>
        <v>13379807.523333332</v>
      </c>
      <c r="J39" s="349">
        <f>'ตารางที่ 5 ส่ง'!B31</f>
        <v>15291629.462639999</v>
      </c>
      <c r="K39" s="349">
        <f>'ตารางที่ 5 ส่ง'!C31</f>
        <v>31579.183199999999</v>
      </c>
      <c r="L39" s="349">
        <f>'ตารางที่ 5 ส่ง'!D31</f>
        <v>584381.97251999995</v>
      </c>
      <c r="M39" s="349">
        <f>'ตารางที่ 5 ส่ง'!E31</f>
        <v>1782892.6715399998</v>
      </c>
      <c r="N39" s="349">
        <f t="shared" si="7"/>
        <v>17690483.289899997</v>
      </c>
      <c r="O39" s="347">
        <v>5</v>
      </c>
      <c r="P39" s="348" t="s">
        <v>105</v>
      </c>
      <c r="Q39" s="349">
        <f t="shared" si="3"/>
        <v>3538096.6579799997</v>
      </c>
      <c r="R39" s="529">
        <f t="shared" ref="R39" si="15">SUM(N39-F39)*100/F39</f>
        <v>-55.927409620681054</v>
      </c>
      <c r="S39" s="529">
        <f t="shared" ref="S39" si="16">SUM(O39-G39)*100/G39</f>
        <v>66.666666666666671</v>
      </c>
      <c r="T39" s="529">
        <f t="shared" ref="T39" si="17">SUM(Q39-I39)*100/I39</f>
        <v>-73.556445772408622</v>
      </c>
      <c r="U39" s="80"/>
      <c r="V39" s="80"/>
      <c r="W39" s="36"/>
      <c r="X39" s="36"/>
      <c r="Y39" s="36"/>
    </row>
    <row r="40" spans="1:25" s="51" customFormat="1" x14ac:dyDescent="0.4">
      <c r="A40" s="106" t="s">
        <v>351</v>
      </c>
      <c r="B40" s="49">
        <v>29374101.940000001</v>
      </c>
      <c r="C40" s="49">
        <v>214279.64</v>
      </c>
      <c r="D40" s="49">
        <v>1952620.73</v>
      </c>
      <c r="E40" s="49">
        <v>4215379.8600000003</v>
      </c>
      <c r="F40" s="383">
        <f>SUM(B40:E40)</f>
        <v>35756382.170000002</v>
      </c>
      <c r="G40" s="334">
        <v>14365</v>
      </c>
      <c r="H40" s="330" t="s">
        <v>100</v>
      </c>
      <c r="I40" s="383">
        <f>+F40/G40</f>
        <v>2489.1320689175081</v>
      </c>
      <c r="J40" s="49">
        <f>'ตารางที่ 5 ส่ง'!B32</f>
        <v>73909542.402759999</v>
      </c>
      <c r="K40" s="49">
        <f>'ตารางที่ 5 ส่ง'!C32</f>
        <v>152632.7188</v>
      </c>
      <c r="L40" s="49">
        <f>'ตารางที่ 5 ส่ง'!D32</f>
        <v>2824512.8671800001</v>
      </c>
      <c r="M40" s="49">
        <f>'ตารางที่ 5 ส่ง'!E32</f>
        <v>8617314.5791099984</v>
      </c>
      <c r="N40" s="49">
        <f t="shared" si="7"/>
        <v>85504002.567849994</v>
      </c>
      <c r="O40" s="334">
        <v>31569</v>
      </c>
      <c r="P40" s="330" t="s">
        <v>100</v>
      </c>
      <c r="Q40" s="49">
        <f t="shared" si="3"/>
        <v>2708.4799191564507</v>
      </c>
      <c r="R40" s="529">
        <f t="shared" ref="R40:R42" si="18">SUM(N40-F40)*100/F40</f>
        <v>139.12934524899666</v>
      </c>
      <c r="S40" s="529">
        <f t="shared" ref="S40:S42" si="19">SUM(O40-G40)*100/G40</f>
        <v>119.76331360946746</v>
      </c>
      <c r="T40" s="529">
        <f t="shared" ref="T40:T42" si="20">SUM(Q40-I40)*100/I40</f>
        <v>8.8122222592364956</v>
      </c>
      <c r="U40" s="80"/>
      <c r="V40" s="80"/>
      <c r="W40" s="36"/>
      <c r="X40" s="36"/>
      <c r="Y40" s="36"/>
    </row>
    <row r="41" spans="1:25" s="51" customFormat="1" x14ac:dyDescent="0.4">
      <c r="A41" s="72" t="s">
        <v>352</v>
      </c>
      <c r="B41" s="49">
        <v>28237039.93</v>
      </c>
      <c r="C41" s="49">
        <v>205984.95</v>
      </c>
      <c r="D41" s="49">
        <v>1877035.42</v>
      </c>
      <c r="E41" s="49">
        <v>4052203.86</v>
      </c>
      <c r="F41" s="383">
        <f>SUM(B41:E41)</f>
        <v>34372264.159999996</v>
      </c>
      <c r="G41" s="334">
        <v>7906</v>
      </c>
      <c r="H41" s="330" t="s">
        <v>100</v>
      </c>
      <c r="I41" s="383">
        <f t="shared" ref="I41:I42" si="21">+F41/G41</f>
        <v>4347.6175259296733</v>
      </c>
      <c r="J41" s="49">
        <f>'ตารางที่ 5 ส่ง'!B33</f>
        <v>25740909.595444001</v>
      </c>
      <c r="K41" s="49">
        <f>'ตารางที่ 5 ส่ง'!C33</f>
        <v>53158.291720000001</v>
      </c>
      <c r="L41" s="49">
        <f>'ตารางที่ 5 ส่ง'!D33</f>
        <v>983709.65374199999</v>
      </c>
      <c r="M41" s="49">
        <f>'ตารางที่ 5 ส่ง'!E33</f>
        <v>3001202.6637589997</v>
      </c>
      <c r="N41" s="49">
        <f t="shared" si="7"/>
        <v>29778980.204665001</v>
      </c>
      <c r="O41" s="334">
        <v>8200</v>
      </c>
      <c r="P41" s="330" t="s">
        <v>100</v>
      </c>
      <c r="Q41" s="49">
        <f t="shared" si="3"/>
        <v>3631.5829517884149</v>
      </c>
      <c r="R41" s="529">
        <f t="shared" si="18"/>
        <v>-13.363344160145065</v>
      </c>
      <c r="S41" s="529">
        <f t="shared" si="19"/>
        <v>3.7186946622818113</v>
      </c>
      <c r="T41" s="529">
        <f t="shared" si="20"/>
        <v>-16.46958523537889</v>
      </c>
      <c r="U41" s="80"/>
      <c r="V41" s="80"/>
      <c r="W41" s="36"/>
      <c r="X41" s="36"/>
      <c r="Y41" s="36"/>
    </row>
    <row r="42" spans="1:25" s="51" customFormat="1" x14ac:dyDescent="0.4">
      <c r="A42" s="172" t="s">
        <v>369</v>
      </c>
      <c r="B42" s="49">
        <v>947551.68</v>
      </c>
      <c r="C42" s="49">
        <v>6912.25</v>
      </c>
      <c r="D42" s="49">
        <v>62987.77</v>
      </c>
      <c r="E42" s="49">
        <v>135980</v>
      </c>
      <c r="F42" s="383">
        <f>SUM(B42:E42)</f>
        <v>1153431.7000000002</v>
      </c>
      <c r="G42" s="334">
        <v>171</v>
      </c>
      <c r="H42" s="330" t="s">
        <v>100</v>
      </c>
      <c r="I42" s="383">
        <f t="shared" si="21"/>
        <v>6745.2146198830424</v>
      </c>
      <c r="J42" s="49">
        <f>'ตารางที่ 5 ส่ง'!B34</f>
        <v>764581.47313199996</v>
      </c>
      <c r="K42" s="49">
        <f>'ตารางที่ 5 ส่ง'!C34</f>
        <v>1578.9591599999999</v>
      </c>
      <c r="L42" s="49">
        <f>'ตารางที่ 5 ส่ง'!D34</f>
        <v>29219.098626000003</v>
      </c>
      <c r="M42" s="49">
        <f>'ตารางที่ 5 ส่ง'!E34</f>
        <v>89144.633577000001</v>
      </c>
      <c r="N42" s="49">
        <f t="shared" si="7"/>
        <v>884524.16449499992</v>
      </c>
      <c r="O42" s="334">
        <v>170</v>
      </c>
      <c r="P42" s="330" t="s">
        <v>100</v>
      </c>
      <c r="Q42" s="49">
        <f t="shared" si="3"/>
        <v>5203.0833205588233</v>
      </c>
      <c r="R42" s="529">
        <f t="shared" si="18"/>
        <v>-23.31369386717915</v>
      </c>
      <c r="S42" s="529">
        <f t="shared" si="19"/>
        <v>-0.58479532163742687</v>
      </c>
      <c r="T42" s="529">
        <f t="shared" si="20"/>
        <v>-22.862597948750793</v>
      </c>
      <c r="U42" s="80"/>
      <c r="V42" s="80"/>
      <c r="W42" s="36"/>
      <c r="X42" s="36"/>
      <c r="Y42" s="36"/>
    </row>
    <row r="43" spans="1:25" s="51" customFormat="1" ht="36.6" x14ac:dyDescent="0.4">
      <c r="A43" s="106" t="s">
        <v>354</v>
      </c>
      <c r="B43" s="349"/>
      <c r="C43" s="349"/>
      <c r="D43" s="349"/>
      <c r="E43" s="349"/>
      <c r="F43" s="391"/>
      <c r="G43" s="347"/>
      <c r="H43" s="348"/>
      <c r="I43" s="383"/>
      <c r="J43" s="349">
        <f>'ตารางที่ 5 ส่ง'!B35</f>
        <v>94808102.668368012</v>
      </c>
      <c r="K43" s="349">
        <f>'ตารางที่ 5 ส่ง'!C35</f>
        <v>195790.93584000002</v>
      </c>
      <c r="L43" s="349">
        <f>'ตารางที่ 5 ส่ง'!D35</f>
        <v>3623168.2296240004</v>
      </c>
      <c r="M43" s="349">
        <f>'ตารางที่ 5 ส่ง'!E35</f>
        <v>11053934.563548001</v>
      </c>
      <c r="N43" s="349">
        <f t="shared" si="7"/>
        <v>109680996.39738001</v>
      </c>
      <c r="O43" s="347">
        <v>10939</v>
      </c>
      <c r="P43" s="348" t="s">
        <v>100</v>
      </c>
      <c r="Q43" s="349">
        <f t="shared" si="3"/>
        <v>10026.601736665143</v>
      </c>
      <c r="R43" s="393">
        <v>0</v>
      </c>
      <c r="S43" s="393">
        <v>0</v>
      </c>
      <c r="T43" s="393">
        <v>0</v>
      </c>
      <c r="U43" s="80"/>
      <c r="V43" s="80"/>
      <c r="W43" s="36"/>
      <c r="X43" s="36"/>
      <c r="Y43" s="36"/>
    </row>
    <row r="44" spans="1:25" s="51" customFormat="1" x14ac:dyDescent="0.4">
      <c r="A44" s="106" t="s">
        <v>370</v>
      </c>
      <c r="B44" s="49">
        <v>28237039.93</v>
      </c>
      <c r="C44" s="49">
        <v>205984.95</v>
      </c>
      <c r="D44" s="49">
        <v>1877035.42</v>
      </c>
      <c r="E44" s="49">
        <v>4052203.86</v>
      </c>
      <c r="F44" s="49">
        <f t="shared" ref="F44:F48" si="22">SUM(B44:E44)</f>
        <v>34372264.159999996</v>
      </c>
      <c r="G44" s="334">
        <v>6258</v>
      </c>
      <c r="H44" s="330" t="s">
        <v>100</v>
      </c>
      <c r="I44" s="383">
        <f>+F44/G44</f>
        <v>5492.5318248641734</v>
      </c>
      <c r="J44" s="49"/>
      <c r="K44" s="49"/>
      <c r="L44" s="49"/>
      <c r="M44" s="49"/>
      <c r="N44" s="49">
        <f t="shared" si="7"/>
        <v>0</v>
      </c>
      <c r="O44" s="334"/>
      <c r="P44" s="330"/>
      <c r="Q44" s="49"/>
      <c r="R44" s="385"/>
      <c r="S44" s="385"/>
      <c r="T44" s="386"/>
      <c r="U44" s="80"/>
      <c r="V44" s="80"/>
      <c r="W44" s="36"/>
      <c r="X44" s="36"/>
      <c r="Y44" s="36"/>
    </row>
    <row r="45" spans="1:25" s="51" customFormat="1" x14ac:dyDescent="0.4">
      <c r="A45" s="106" t="s">
        <v>371</v>
      </c>
      <c r="B45" s="49">
        <v>5116779.05</v>
      </c>
      <c r="C45" s="49">
        <v>37326.129999999997</v>
      </c>
      <c r="D45" s="49">
        <v>340133.93</v>
      </c>
      <c r="E45" s="49">
        <v>734291.98</v>
      </c>
      <c r="F45" s="49">
        <f t="shared" si="22"/>
        <v>6228531.0899999999</v>
      </c>
      <c r="G45" s="334">
        <v>124</v>
      </c>
      <c r="H45" s="330" t="s">
        <v>99</v>
      </c>
      <c r="I45" s="383">
        <f t="shared" ref="I45:I47" si="23">+F45/G45</f>
        <v>50230.089435483867</v>
      </c>
      <c r="J45" s="49"/>
      <c r="K45" s="49"/>
      <c r="L45" s="49"/>
      <c r="M45" s="49"/>
      <c r="N45" s="49"/>
      <c r="O45" s="334"/>
      <c r="P45" s="330"/>
      <c r="Q45" s="49"/>
      <c r="R45" s="385"/>
      <c r="S45" s="385"/>
      <c r="T45" s="386"/>
      <c r="U45" s="80"/>
      <c r="V45" s="80"/>
      <c r="W45" s="36"/>
      <c r="X45" s="36"/>
      <c r="Y45" s="36"/>
    </row>
    <row r="46" spans="1:25" s="51" customFormat="1" x14ac:dyDescent="0.4">
      <c r="A46" s="145" t="s">
        <v>372</v>
      </c>
      <c r="B46" s="49">
        <v>41123742.719999999</v>
      </c>
      <c r="C46" s="49">
        <v>299991.5</v>
      </c>
      <c r="D46" s="49">
        <v>2733669.03</v>
      </c>
      <c r="E46" s="49">
        <v>5901531.7999999998</v>
      </c>
      <c r="F46" s="49">
        <f t="shared" si="22"/>
        <v>50058935.049999997</v>
      </c>
      <c r="G46" s="334">
        <v>5</v>
      </c>
      <c r="H46" s="330" t="s">
        <v>99</v>
      </c>
      <c r="I46" s="383">
        <f t="shared" si="23"/>
        <v>10011787.01</v>
      </c>
      <c r="J46" s="49"/>
      <c r="K46" s="49"/>
      <c r="L46" s="49"/>
      <c r="M46" s="49"/>
      <c r="N46" s="49"/>
      <c r="O46" s="334"/>
      <c r="P46" s="330"/>
      <c r="Q46" s="49"/>
      <c r="R46" s="385"/>
      <c r="S46" s="385"/>
      <c r="T46" s="386"/>
      <c r="U46" s="80"/>
      <c r="V46" s="80"/>
      <c r="W46" s="36"/>
      <c r="X46" s="36"/>
      <c r="Y46" s="36"/>
    </row>
    <row r="47" spans="1:25" s="51" customFormat="1" x14ac:dyDescent="0.4">
      <c r="A47" s="106" t="s">
        <v>373</v>
      </c>
      <c r="B47" s="49">
        <v>70118824</v>
      </c>
      <c r="C47" s="49">
        <v>511506.25</v>
      </c>
      <c r="D47" s="49">
        <v>4661094.66</v>
      </c>
      <c r="E47" s="49">
        <v>10062519.66</v>
      </c>
      <c r="F47" s="49">
        <f t="shared" si="22"/>
        <v>85353944.569999993</v>
      </c>
      <c r="G47" s="334">
        <v>20958</v>
      </c>
      <c r="H47" s="330" t="s">
        <v>100</v>
      </c>
      <c r="I47" s="383">
        <f t="shared" si="23"/>
        <v>4072.6187885294394</v>
      </c>
      <c r="J47" s="49"/>
      <c r="K47" s="49"/>
      <c r="L47" s="49"/>
      <c r="M47" s="49"/>
      <c r="N47" s="49"/>
      <c r="O47" s="334"/>
      <c r="P47" s="330"/>
      <c r="Q47" s="49"/>
      <c r="R47" s="385"/>
      <c r="S47" s="385"/>
      <c r="T47" s="386"/>
      <c r="U47" s="80"/>
      <c r="V47" s="80"/>
      <c r="W47" s="36"/>
      <c r="X47" s="36"/>
      <c r="Y47" s="36"/>
    </row>
    <row r="48" spans="1:25" s="51" customFormat="1" x14ac:dyDescent="0.4">
      <c r="A48" s="107" t="s">
        <v>374</v>
      </c>
      <c r="B48" s="49">
        <v>154829943.80000001</v>
      </c>
      <c r="C48" s="49">
        <v>1129461.0900000001</v>
      </c>
      <c r="D48" s="49">
        <v>10292200.91</v>
      </c>
      <c r="E48" s="49">
        <v>22219131.25</v>
      </c>
      <c r="F48" s="383">
        <f t="shared" si="22"/>
        <v>188470737.05000001</v>
      </c>
      <c r="G48" s="334">
        <v>23791</v>
      </c>
      <c r="H48" s="330" t="s">
        <v>100</v>
      </c>
      <c r="I48" s="383">
        <f>+F48/G48</f>
        <v>7921.9342209238794</v>
      </c>
      <c r="J48" s="49"/>
      <c r="K48" s="49"/>
      <c r="L48" s="49"/>
      <c r="M48" s="49"/>
      <c r="N48" s="49"/>
      <c r="O48" s="334"/>
      <c r="P48" s="330"/>
      <c r="Q48" s="49"/>
      <c r="R48" s="385"/>
      <c r="S48" s="385"/>
      <c r="T48" s="386"/>
      <c r="U48" s="80"/>
      <c r="V48" s="80"/>
      <c r="W48" s="36"/>
      <c r="X48" s="36"/>
      <c r="Y48" s="36"/>
    </row>
    <row r="49" spans="1:25" s="51" customFormat="1" x14ac:dyDescent="0.4">
      <c r="A49" s="408" t="s">
        <v>375</v>
      </c>
      <c r="B49" s="49"/>
      <c r="C49" s="49"/>
      <c r="D49" s="49"/>
      <c r="E49" s="49"/>
      <c r="F49" s="383"/>
      <c r="G49" s="334"/>
      <c r="H49" s="330"/>
      <c r="I49" s="383"/>
      <c r="J49" s="403">
        <f>'ตารางที่ 5 ส่ง'!B36</f>
        <v>677674045.68599606</v>
      </c>
      <c r="K49" s="403">
        <f>'ตารางที่ 5 ส่ง'!C36</f>
        <v>1399484.1354800002</v>
      </c>
      <c r="L49" s="403">
        <f>'ตารางที่ 5 ส่ง'!D36</f>
        <v>25897861.082178</v>
      </c>
      <c r="M49" s="403">
        <f>'ตารางที่ 5 ส่ง'!E36</f>
        <v>79011860.227081001</v>
      </c>
      <c r="N49" s="49">
        <f>SUM(J49:M49)</f>
        <v>783983251.13073516</v>
      </c>
      <c r="O49" s="334">
        <v>270230</v>
      </c>
      <c r="P49" s="330" t="s">
        <v>100</v>
      </c>
      <c r="Q49" s="349">
        <f>+N49/O49</f>
        <v>2901.1703035589503</v>
      </c>
      <c r="R49" s="385">
        <v>0</v>
      </c>
      <c r="S49" s="385">
        <v>0</v>
      </c>
      <c r="T49" s="386">
        <v>0</v>
      </c>
      <c r="U49" s="80"/>
      <c r="V49" s="80"/>
      <c r="W49" s="36"/>
      <c r="X49" s="36"/>
      <c r="Y49" s="36"/>
    </row>
    <row r="50" spans="1:25" s="178" customFormat="1" x14ac:dyDescent="0.4">
      <c r="A50" s="408" t="s">
        <v>376</v>
      </c>
      <c r="B50" s="403"/>
      <c r="C50" s="403"/>
      <c r="D50" s="403"/>
      <c r="E50" s="403"/>
      <c r="F50" s="404"/>
      <c r="G50" s="405"/>
      <c r="H50" s="406"/>
      <c r="I50" s="404"/>
      <c r="J50" s="403">
        <f>'ตารางที่ 5 ส่ง'!B37</f>
        <v>111374034.58622801</v>
      </c>
      <c r="K50" s="403">
        <f>'ตารางที่ 5 ส่ง'!C37</f>
        <v>230001.71764000002</v>
      </c>
      <c r="L50" s="403">
        <f>'ตารางที่ 5 ส่ง'!D37</f>
        <v>4256248.6998540005</v>
      </c>
      <c r="M50" s="403">
        <f>'ตารางที่ 5 ส่ง'!E37</f>
        <v>12985401.624382999</v>
      </c>
      <c r="N50" s="403">
        <f>SUM(J50:M50)</f>
        <v>128845686.62810501</v>
      </c>
      <c r="O50" s="405">
        <v>11607</v>
      </c>
      <c r="P50" s="406" t="s">
        <v>100</v>
      </c>
      <c r="Q50" s="403">
        <f t="shared" si="3"/>
        <v>11100.688087197814</v>
      </c>
      <c r="R50" s="392">
        <v>0</v>
      </c>
      <c r="S50" s="392">
        <v>0</v>
      </c>
      <c r="T50" s="392">
        <v>0</v>
      </c>
      <c r="U50" s="407"/>
      <c r="V50" s="407"/>
      <c r="W50" s="177"/>
      <c r="X50" s="177"/>
      <c r="Y50" s="177"/>
    </row>
    <row r="51" spans="1:25" x14ac:dyDescent="0.4">
      <c r="A51" s="394" t="s">
        <v>17</v>
      </c>
      <c r="B51" s="43">
        <f>SUM(B16:B50)</f>
        <v>1895103351.2500002</v>
      </c>
      <c r="C51" s="43">
        <f>SUM(C16:C50)-0.03</f>
        <v>13824493.130000003</v>
      </c>
      <c r="D51" s="43">
        <f>SUM(D16:D50)-0.01</f>
        <v>125975531.28</v>
      </c>
      <c r="E51" s="43">
        <f>SUM(E16:E50)</f>
        <v>271959990.83000004</v>
      </c>
      <c r="F51" s="43">
        <f>SUM(F16:F50)-0.06</f>
        <v>2306863366.4700003</v>
      </c>
      <c r="G51" s="519">
        <f>SUM(G16:G50)</f>
        <v>4267389</v>
      </c>
      <c r="H51" s="330"/>
      <c r="I51" s="383">
        <f>+F51/G51</f>
        <v>540.57958308230172</v>
      </c>
      <c r="J51" s="299">
        <f>'ตารางที่ 5 ส่ง'!B38</f>
        <v>2548604910.4400001</v>
      </c>
      <c r="K51" s="299">
        <f>'ตารางที่ 5 ส่ง'!C38</f>
        <v>5263197.2</v>
      </c>
      <c r="L51" s="299">
        <f>'ตารางที่ 5 ส่ง'!D38</f>
        <v>97396995.419999987</v>
      </c>
      <c r="M51" s="299">
        <f>'ตารางที่ 5 ส่ง'!E38</f>
        <v>297148778.58999991</v>
      </c>
      <c r="N51" s="299">
        <f>SUM(J51:M51)</f>
        <v>2948413881.6499996</v>
      </c>
      <c r="O51" s="395">
        <f>SUM(O16:O50)</f>
        <v>4952816</v>
      </c>
      <c r="P51" s="330"/>
      <c r="Q51" s="43">
        <f>+N51/O51</f>
        <v>595.30050816545565</v>
      </c>
      <c r="R51" s="396">
        <f>SUM(N51-F51)*100/F51</f>
        <v>27.810512079079498</v>
      </c>
      <c r="S51" s="396">
        <f>SUM(O51-G51)*100/G51</f>
        <v>16.061976070145001</v>
      </c>
      <c r="T51" s="397">
        <f>+(Q51-I51)*100/I51</f>
        <v>10.122639995233193</v>
      </c>
    </row>
    <row r="52" spans="1:25" x14ac:dyDescent="0.4">
      <c r="A52" s="371"/>
      <c r="I52" s="47"/>
      <c r="K52" s="47"/>
      <c r="L52" s="47"/>
    </row>
    <row r="53" spans="1:25" x14ac:dyDescent="0.4">
      <c r="I53" s="47"/>
      <c r="K53" s="47"/>
      <c r="L53" s="47"/>
      <c r="N53" s="80"/>
    </row>
    <row r="54" spans="1:25" x14ac:dyDescent="0.4">
      <c r="I54" s="47"/>
      <c r="K54" s="47"/>
      <c r="L54" s="47"/>
    </row>
    <row r="55" spans="1:25" x14ac:dyDescent="0.4">
      <c r="I55" s="47"/>
      <c r="K55" s="47"/>
      <c r="L55" s="47"/>
    </row>
    <row r="56" spans="1:25" x14ac:dyDescent="0.4">
      <c r="I56" s="47"/>
      <c r="K56" s="47"/>
      <c r="L56" s="47"/>
    </row>
    <row r="57" spans="1:25" x14ac:dyDescent="0.4">
      <c r="I57" s="47"/>
      <c r="K57" s="47"/>
      <c r="L57" s="47"/>
    </row>
    <row r="59" spans="1:25" x14ac:dyDescent="0.4">
      <c r="F59" s="47"/>
    </row>
    <row r="60" spans="1:25" x14ac:dyDescent="0.4">
      <c r="F60" s="47"/>
    </row>
    <row r="61" spans="1:25" x14ac:dyDescent="0.4">
      <c r="F61" s="80"/>
    </row>
  </sheetData>
  <mergeCells count="26">
    <mergeCell ref="Q21:Q22"/>
    <mergeCell ref="R21:R22"/>
    <mergeCell ref="S21:S22"/>
    <mergeCell ref="T21:T22"/>
    <mergeCell ref="L21:L22"/>
    <mergeCell ref="M21:M22"/>
    <mergeCell ref="N21:N22"/>
    <mergeCell ref="O21:O22"/>
    <mergeCell ref="P21:P22"/>
    <mergeCell ref="G21:G22"/>
    <mergeCell ref="H21:H22"/>
    <mergeCell ref="I21:I22"/>
    <mergeCell ref="J21:J22"/>
    <mergeCell ref="K21:K22"/>
    <mergeCell ref="B21:B22"/>
    <mergeCell ref="C21:C22"/>
    <mergeCell ref="D21:D22"/>
    <mergeCell ref="E21:E22"/>
    <mergeCell ref="F21:F22"/>
    <mergeCell ref="A1:T1"/>
    <mergeCell ref="A2:T2"/>
    <mergeCell ref="A3:T3"/>
    <mergeCell ref="A4:T4"/>
    <mergeCell ref="A8:I8"/>
    <mergeCell ref="J8:Q8"/>
    <mergeCell ref="R8:T8"/>
  </mergeCells>
  <pageMargins left="0.78740157480314965" right="0.98425196850393704" top="0.39370078740157483" bottom="0.15748031496062992" header="0.31496062992125984" footer="0.31496062992125984"/>
  <pageSetup paperSize="5" scale="45" orientation="landscape" r:id="rId1"/>
  <headerFooter>
    <oddHeader>&amp;R11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Y51"/>
  <sheetViews>
    <sheetView topLeftCell="A7" workbookViewId="0">
      <pane xSplit="1" ySplit="9" topLeftCell="O47" activePane="bottomRight" state="frozen"/>
      <selection activeCell="A7" sqref="A7"/>
      <selection pane="topRight" activeCell="B7" sqref="B7"/>
      <selection pane="bottomLeft" activeCell="A16" sqref="A16"/>
      <selection pane="bottomRight" activeCell="R30" sqref="R30:T32"/>
    </sheetView>
  </sheetViews>
  <sheetFormatPr defaultColWidth="8.19921875" defaultRowHeight="21" x14ac:dyDescent="0.4"/>
  <cols>
    <col min="1" max="1" width="58.19921875" style="48" customWidth="1"/>
    <col min="2" max="2" width="16.5" style="48" customWidth="1"/>
    <col min="3" max="3" width="14.09765625" style="48" bestFit="1" customWidth="1"/>
    <col min="4" max="4" width="16.796875" style="48" customWidth="1"/>
    <col min="5" max="5" width="15.19921875" style="48" bestFit="1" customWidth="1"/>
    <col min="6" max="6" width="16.796875" style="48" bestFit="1" customWidth="1"/>
    <col min="7" max="7" width="12.69921875" style="48" bestFit="1" customWidth="1"/>
    <col min="8" max="8" width="8.3984375" style="399" bestFit="1" customWidth="1"/>
    <col min="9" max="9" width="14.8984375" style="48" customWidth="1"/>
    <col min="10" max="10" width="16.796875" style="48" bestFit="1" customWidth="1"/>
    <col min="11" max="11" width="13.796875" style="48" bestFit="1" customWidth="1"/>
    <col min="12" max="12" width="15.19921875" style="48" bestFit="1" customWidth="1"/>
    <col min="13" max="13" width="14.8984375" style="48" bestFit="1" customWidth="1"/>
    <col min="14" max="14" width="16.796875" style="48" bestFit="1" customWidth="1"/>
    <col min="15" max="15" width="12.59765625" style="398" bestFit="1" customWidth="1"/>
    <col min="16" max="16" width="10.19921875" style="399" customWidth="1"/>
    <col min="17" max="17" width="14.296875" style="48" bestFit="1" customWidth="1"/>
    <col min="18" max="18" width="15.796875" style="48" bestFit="1" customWidth="1"/>
    <col min="19" max="19" width="13.09765625" style="48" bestFit="1" customWidth="1"/>
    <col min="20" max="20" width="12.296875" style="48" customWidth="1"/>
    <col min="21" max="256" width="8.19921875" style="48"/>
    <col min="257" max="257" width="58.19921875" style="48" customWidth="1"/>
    <col min="258" max="258" width="16.5" style="48" customWidth="1"/>
    <col min="259" max="259" width="14.09765625" style="48" bestFit="1" customWidth="1"/>
    <col min="260" max="260" width="16.796875" style="48" customWidth="1"/>
    <col min="261" max="261" width="15.19921875" style="48" bestFit="1" customWidth="1"/>
    <col min="262" max="262" width="16.796875" style="48" bestFit="1" customWidth="1"/>
    <col min="263" max="263" width="12.69921875" style="48" bestFit="1" customWidth="1"/>
    <col min="264" max="264" width="8.3984375" style="48" bestFit="1" customWidth="1"/>
    <col min="265" max="265" width="12.59765625" style="48" customWidth="1"/>
    <col min="266" max="266" width="16.796875" style="48" bestFit="1" customWidth="1"/>
    <col min="267" max="267" width="13.796875" style="48" bestFit="1" customWidth="1"/>
    <col min="268" max="268" width="15.19921875" style="48" bestFit="1" customWidth="1"/>
    <col min="269" max="269" width="14.8984375" style="48" bestFit="1" customWidth="1"/>
    <col min="270" max="270" width="16.796875" style="48" bestFit="1" customWidth="1"/>
    <col min="271" max="271" width="10.19921875" style="48" bestFit="1" customWidth="1"/>
    <col min="272" max="272" width="10.19921875" style="48" customWidth="1"/>
    <col min="273" max="273" width="14.296875" style="48" bestFit="1" customWidth="1"/>
    <col min="274" max="275" width="13.09765625" style="48" bestFit="1" customWidth="1"/>
    <col min="276" max="276" width="12.296875" style="48" customWidth="1"/>
    <col min="277" max="512" width="8.19921875" style="48"/>
    <col min="513" max="513" width="58.19921875" style="48" customWidth="1"/>
    <col min="514" max="514" width="16.5" style="48" customWidth="1"/>
    <col min="515" max="515" width="14.09765625" style="48" bestFit="1" customWidth="1"/>
    <col min="516" max="516" width="16.796875" style="48" customWidth="1"/>
    <col min="517" max="517" width="15.19921875" style="48" bestFit="1" customWidth="1"/>
    <col min="518" max="518" width="16.796875" style="48" bestFit="1" customWidth="1"/>
    <col min="519" max="519" width="12.69921875" style="48" bestFit="1" customWidth="1"/>
    <col min="520" max="520" width="8.3984375" style="48" bestFit="1" customWidth="1"/>
    <col min="521" max="521" width="12.59765625" style="48" customWidth="1"/>
    <col min="522" max="522" width="16.796875" style="48" bestFit="1" customWidth="1"/>
    <col min="523" max="523" width="13.796875" style="48" bestFit="1" customWidth="1"/>
    <col min="524" max="524" width="15.19921875" style="48" bestFit="1" customWidth="1"/>
    <col min="525" max="525" width="14.8984375" style="48" bestFit="1" customWidth="1"/>
    <col min="526" max="526" width="16.796875" style="48" bestFit="1" customWidth="1"/>
    <col min="527" max="527" width="10.19921875" style="48" bestFit="1" customWidth="1"/>
    <col min="528" max="528" width="10.19921875" style="48" customWidth="1"/>
    <col min="529" max="529" width="14.296875" style="48" bestFit="1" customWidth="1"/>
    <col min="530" max="531" width="13.09765625" style="48" bestFit="1" customWidth="1"/>
    <col min="532" max="532" width="12.296875" style="48" customWidth="1"/>
    <col min="533" max="768" width="8.19921875" style="48"/>
    <col min="769" max="769" width="58.19921875" style="48" customWidth="1"/>
    <col min="770" max="770" width="16.5" style="48" customWidth="1"/>
    <col min="771" max="771" width="14.09765625" style="48" bestFit="1" customWidth="1"/>
    <col min="772" max="772" width="16.796875" style="48" customWidth="1"/>
    <col min="773" max="773" width="15.19921875" style="48" bestFit="1" customWidth="1"/>
    <col min="774" max="774" width="16.796875" style="48" bestFit="1" customWidth="1"/>
    <col min="775" max="775" width="12.69921875" style="48" bestFit="1" customWidth="1"/>
    <col min="776" max="776" width="8.3984375" style="48" bestFit="1" customWidth="1"/>
    <col min="777" max="777" width="12.59765625" style="48" customWidth="1"/>
    <col min="778" max="778" width="16.796875" style="48" bestFit="1" customWidth="1"/>
    <col min="779" max="779" width="13.796875" style="48" bestFit="1" customWidth="1"/>
    <col min="780" max="780" width="15.19921875" style="48" bestFit="1" customWidth="1"/>
    <col min="781" max="781" width="14.8984375" style="48" bestFit="1" customWidth="1"/>
    <col min="782" max="782" width="16.796875" style="48" bestFit="1" customWidth="1"/>
    <col min="783" max="783" width="10.19921875" style="48" bestFit="1" customWidth="1"/>
    <col min="784" max="784" width="10.19921875" style="48" customWidth="1"/>
    <col min="785" max="785" width="14.296875" style="48" bestFit="1" customWidth="1"/>
    <col min="786" max="787" width="13.09765625" style="48" bestFit="1" customWidth="1"/>
    <col min="788" max="788" width="12.296875" style="48" customWidth="1"/>
    <col min="789" max="1024" width="8.19921875" style="48"/>
    <col min="1025" max="1025" width="58.19921875" style="48" customWidth="1"/>
    <col min="1026" max="1026" width="16.5" style="48" customWidth="1"/>
    <col min="1027" max="1027" width="14.09765625" style="48" bestFit="1" customWidth="1"/>
    <col min="1028" max="1028" width="16.796875" style="48" customWidth="1"/>
    <col min="1029" max="1029" width="15.19921875" style="48" bestFit="1" customWidth="1"/>
    <col min="1030" max="1030" width="16.796875" style="48" bestFit="1" customWidth="1"/>
    <col min="1031" max="1031" width="12.69921875" style="48" bestFit="1" customWidth="1"/>
    <col min="1032" max="1032" width="8.3984375" style="48" bestFit="1" customWidth="1"/>
    <col min="1033" max="1033" width="12.59765625" style="48" customWidth="1"/>
    <col min="1034" max="1034" width="16.796875" style="48" bestFit="1" customWidth="1"/>
    <col min="1035" max="1035" width="13.796875" style="48" bestFit="1" customWidth="1"/>
    <col min="1036" max="1036" width="15.19921875" style="48" bestFit="1" customWidth="1"/>
    <col min="1037" max="1037" width="14.8984375" style="48" bestFit="1" customWidth="1"/>
    <col min="1038" max="1038" width="16.796875" style="48" bestFit="1" customWidth="1"/>
    <col min="1039" max="1039" width="10.19921875" style="48" bestFit="1" customWidth="1"/>
    <col min="1040" max="1040" width="10.19921875" style="48" customWidth="1"/>
    <col min="1041" max="1041" width="14.296875" style="48" bestFit="1" customWidth="1"/>
    <col min="1042" max="1043" width="13.09765625" style="48" bestFit="1" customWidth="1"/>
    <col min="1044" max="1044" width="12.296875" style="48" customWidth="1"/>
    <col min="1045" max="1280" width="8.19921875" style="48"/>
    <col min="1281" max="1281" width="58.19921875" style="48" customWidth="1"/>
    <col min="1282" max="1282" width="16.5" style="48" customWidth="1"/>
    <col min="1283" max="1283" width="14.09765625" style="48" bestFit="1" customWidth="1"/>
    <col min="1284" max="1284" width="16.796875" style="48" customWidth="1"/>
    <col min="1285" max="1285" width="15.19921875" style="48" bestFit="1" customWidth="1"/>
    <col min="1286" max="1286" width="16.796875" style="48" bestFit="1" customWidth="1"/>
    <col min="1287" max="1287" width="12.69921875" style="48" bestFit="1" customWidth="1"/>
    <col min="1288" max="1288" width="8.3984375" style="48" bestFit="1" customWidth="1"/>
    <col min="1289" max="1289" width="12.59765625" style="48" customWidth="1"/>
    <col min="1290" max="1290" width="16.796875" style="48" bestFit="1" customWidth="1"/>
    <col min="1291" max="1291" width="13.796875" style="48" bestFit="1" customWidth="1"/>
    <col min="1292" max="1292" width="15.19921875" style="48" bestFit="1" customWidth="1"/>
    <col min="1293" max="1293" width="14.8984375" style="48" bestFit="1" customWidth="1"/>
    <col min="1294" max="1294" width="16.796875" style="48" bestFit="1" customWidth="1"/>
    <col min="1295" max="1295" width="10.19921875" style="48" bestFit="1" customWidth="1"/>
    <col min="1296" max="1296" width="10.19921875" style="48" customWidth="1"/>
    <col min="1297" max="1297" width="14.296875" style="48" bestFit="1" customWidth="1"/>
    <col min="1298" max="1299" width="13.09765625" style="48" bestFit="1" customWidth="1"/>
    <col min="1300" max="1300" width="12.296875" style="48" customWidth="1"/>
    <col min="1301" max="1536" width="8.19921875" style="48"/>
    <col min="1537" max="1537" width="58.19921875" style="48" customWidth="1"/>
    <col min="1538" max="1538" width="16.5" style="48" customWidth="1"/>
    <col min="1539" max="1539" width="14.09765625" style="48" bestFit="1" customWidth="1"/>
    <col min="1540" max="1540" width="16.796875" style="48" customWidth="1"/>
    <col min="1541" max="1541" width="15.19921875" style="48" bestFit="1" customWidth="1"/>
    <col min="1542" max="1542" width="16.796875" style="48" bestFit="1" customWidth="1"/>
    <col min="1543" max="1543" width="12.69921875" style="48" bestFit="1" customWidth="1"/>
    <col min="1544" max="1544" width="8.3984375" style="48" bestFit="1" customWidth="1"/>
    <col min="1545" max="1545" width="12.59765625" style="48" customWidth="1"/>
    <col min="1546" max="1546" width="16.796875" style="48" bestFit="1" customWidth="1"/>
    <col min="1547" max="1547" width="13.796875" style="48" bestFit="1" customWidth="1"/>
    <col min="1548" max="1548" width="15.19921875" style="48" bestFit="1" customWidth="1"/>
    <col min="1549" max="1549" width="14.8984375" style="48" bestFit="1" customWidth="1"/>
    <col min="1550" max="1550" width="16.796875" style="48" bestFit="1" customWidth="1"/>
    <col min="1551" max="1551" width="10.19921875" style="48" bestFit="1" customWidth="1"/>
    <col min="1552" max="1552" width="10.19921875" style="48" customWidth="1"/>
    <col min="1553" max="1553" width="14.296875" style="48" bestFit="1" customWidth="1"/>
    <col min="1554" max="1555" width="13.09765625" style="48" bestFit="1" customWidth="1"/>
    <col min="1556" max="1556" width="12.296875" style="48" customWidth="1"/>
    <col min="1557" max="1792" width="8.19921875" style="48"/>
    <col min="1793" max="1793" width="58.19921875" style="48" customWidth="1"/>
    <col min="1794" max="1794" width="16.5" style="48" customWidth="1"/>
    <col min="1795" max="1795" width="14.09765625" style="48" bestFit="1" customWidth="1"/>
    <col min="1796" max="1796" width="16.796875" style="48" customWidth="1"/>
    <col min="1797" max="1797" width="15.19921875" style="48" bestFit="1" customWidth="1"/>
    <col min="1798" max="1798" width="16.796875" style="48" bestFit="1" customWidth="1"/>
    <col min="1799" max="1799" width="12.69921875" style="48" bestFit="1" customWidth="1"/>
    <col min="1800" max="1800" width="8.3984375" style="48" bestFit="1" customWidth="1"/>
    <col min="1801" max="1801" width="12.59765625" style="48" customWidth="1"/>
    <col min="1802" max="1802" width="16.796875" style="48" bestFit="1" customWidth="1"/>
    <col min="1803" max="1803" width="13.796875" style="48" bestFit="1" customWidth="1"/>
    <col min="1804" max="1804" width="15.19921875" style="48" bestFit="1" customWidth="1"/>
    <col min="1805" max="1805" width="14.8984375" style="48" bestFit="1" customWidth="1"/>
    <col min="1806" max="1806" width="16.796875" style="48" bestFit="1" customWidth="1"/>
    <col min="1807" max="1807" width="10.19921875" style="48" bestFit="1" customWidth="1"/>
    <col min="1808" max="1808" width="10.19921875" style="48" customWidth="1"/>
    <col min="1809" max="1809" width="14.296875" style="48" bestFit="1" customWidth="1"/>
    <col min="1810" max="1811" width="13.09765625" style="48" bestFit="1" customWidth="1"/>
    <col min="1812" max="1812" width="12.296875" style="48" customWidth="1"/>
    <col min="1813" max="2048" width="8.19921875" style="48"/>
    <col min="2049" max="2049" width="58.19921875" style="48" customWidth="1"/>
    <col min="2050" max="2050" width="16.5" style="48" customWidth="1"/>
    <col min="2051" max="2051" width="14.09765625" style="48" bestFit="1" customWidth="1"/>
    <col min="2052" max="2052" width="16.796875" style="48" customWidth="1"/>
    <col min="2053" max="2053" width="15.19921875" style="48" bestFit="1" customWidth="1"/>
    <col min="2054" max="2054" width="16.796875" style="48" bestFit="1" customWidth="1"/>
    <col min="2055" max="2055" width="12.69921875" style="48" bestFit="1" customWidth="1"/>
    <col min="2056" max="2056" width="8.3984375" style="48" bestFit="1" customWidth="1"/>
    <col min="2057" max="2057" width="12.59765625" style="48" customWidth="1"/>
    <col min="2058" max="2058" width="16.796875" style="48" bestFit="1" customWidth="1"/>
    <col min="2059" max="2059" width="13.796875" style="48" bestFit="1" customWidth="1"/>
    <col min="2060" max="2060" width="15.19921875" style="48" bestFit="1" customWidth="1"/>
    <col min="2061" max="2061" width="14.8984375" style="48" bestFit="1" customWidth="1"/>
    <col min="2062" max="2062" width="16.796875" style="48" bestFit="1" customWidth="1"/>
    <col min="2063" max="2063" width="10.19921875" style="48" bestFit="1" customWidth="1"/>
    <col min="2064" max="2064" width="10.19921875" style="48" customWidth="1"/>
    <col min="2065" max="2065" width="14.296875" style="48" bestFit="1" customWidth="1"/>
    <col min="2066" max="2067" width="13.09765625" style="48" bestFit="1" customWidth="1"/>
    <col min="2068" max="2068" width="12.296875" style="48" customWidth="1"/>
    <col min="2069" max="2304" width="8.19921875" style="48"/>
    <col min="2305" max="2305" width="58.19921875" style="48" customWidth="1"/>
    <col min="2306" max="2306" width="16.5" style="48" customWidth="1"/>
    <col min="2307" max="2307" width="14.09765625" style="48" bestFit="1" customWidth="1"/>
    <col min="2308" max="2308" width="16.796875" style="48" customWidth="1"/>
    <col min="2309" max="2309" width="15.19921875" style="48" bestFit="1" customWidth="1"/>
    <col min="2310" max="2310" width="16.796875" style="48" bestFit="1" customWidth="1"/>
    <col min="2311" max="2311" width="12.69921875" style="48" bestFit="1" customWidth="1"/>
    <col min="2312" max="2312" width="8.3984375" style="48" bestFit="1" customWidth="1"/>
    <col min="2313" max="2313" width="12.59765625" style="48" customWidth="1"/>
    <col min="2314" max="2314" width="16.796875" style="48" bestFit="1" customWidth="1"/>
    <col min="2315" max="2315" width="13.796875" style="48" bestFit="1" customWidth="1"/>
    <col min="2316" max="2316" width="15.19921875" style="48" bestFit="1" customWidth="1"/>
    <col min="2317" max="2317" width="14.8984375" style="48" bestFit="1" customWidth="1"/>
    <col min="2318" max="2318" width="16.796875" style="48" bestFit="1" customWidth="1"/>
    <col min="2319" max="2319" width="10.19921875" style="48" bestFit="1" customWidth="1"/>
    <col min="2320" max="2320" width="10.19921875" style="48" customWidth="1"/>
    <col min="2321" max="2321" width="14.296875" style="48" bestFit="1" customWidth="1"/>
    <col min="2322" max="2323" width="13.09765625" style="48" bestFit="1" customWidth="1"/>
    <col min="2324" max="2324" width="12.296875" style="48" customWidth="1"/>
    <col min="2325" max="2560" width="8.19921875" style="48"/>
    <col min="2561" max="2561" width="58.19921875" style="48" customWidth="1"/>
    <col min="2562" max="2562" width="16.5" style="48" customWidth="1"/>
    <col min="2563" max="2563" width="14.09765625" style="48" bestFit="1" customWidth="1"/>
    <col min="2564" max="2564" width="16.796875" style="48" customWidth="1"/>
    <col min="2565" max="2565" width="15.19921875" style="48" bestFit="1" customWidth="1"/>
    <col min="2566" max="2566" width="16.796875" style="48" bestFit="1" customWidth="1"/>
    <col min="2567" max="2567" width="12.69921875" style="48" bestFit="1" customWidth="1"/>
    <col min="2568" max="2568" width="8.3984375" style="48" bestFit="1" customWidth="1"/>
    <col min="2569" max="2569" width="12.59765625" style="48" customWidth="1"/>
    <col min="2570" max="2570" width="16.796875" style="48" bestFit="1" customWidth="1"/>
    <col min="2571" max="2571" width="13.796875" style="48" bestFit="1" customWidth="1"/>
    <col min="2572" max="2572" width="15.19921875" style="48" bestFit="1" customWidth="1"/>
    <col min="2573" max="2573" width="14.8984375" style="48" bestFit="1" customWidth="1"/>
    <col min="2574" max="2574" width="16.796875" style="48" bestFit="1" customWidth="1"/>
    <col min="2575" max="2575" width="10.19921875" style="48" bestFit="1" customWidth="1"/>
    <col min="2576" max="2576" width="10.19921875" style="48" customWidth="1"/>
    <col min="2577" max="2577" width="14.296875" style="48" bestFit="1" customWidth="1"/>
    <col min="2578" max="2579" width="13.09765625" style="48" bestFit="1" customWidth="1"/>
    <col min="2580" max="2580" width="12.296875" style="48" customWidth="1"/>
    <col min="2581" max="2816" width="8.19921875" style="48"/>
    <col min="2817" max="2817" width="58.19921875" style="48" customWidth="1"/>
    <col min="2818" max="2818" width="16.5" style="48" customWidth="1"/>
    <col min="2819" max="2819" width="14.09765625" style="48" bestFit="1" customWidth="1"/>
    <col min="2820" max="2820" width="16.796875" style="48" customWidth="1"/>
    <col min="2821" max="2821" width="15.19921875" style="48" bestFit="1" customWidth="1"/>
    <col min="2822" max="2822" width="16.796875" style="48" bestFit="1" customWidth="1"/>
    <col min="2823" max="2823" width="12.69921875" style="48" bestFit="1" customWidth="1"/>
    <col min="2824" max="2824" width="8.3984375" style="48" bestFit="1" customWidth="1"/>
    <col min="2825" max="2825" width="12.59765625" style="48" customWidth="1"/>
    <col min="2826" max="2826" width="16.796875" style="48" bestFit="1" customWidth="1"/>
    <col min="2827" max="2827" width="13.796875" style="48" bestFit="1" customWidth="1"/>
    <col min="2828" max="2828" width="15.19921875" style="48" bestFit="1" customWidth="1"/>
    <col min="2829" max="2829" width="14.8984375" style="48" bestFit="1" customWidth="1"/>
    <col min="2830" max="2830" width="16.796875" style="48" bestFit="1" customWidth="1"/>
    <col min="2831" max="2831" width="10.19921875" style="48" bestFit="1" customWidth="1"/>
    <col min="2832" max="2832" width="10.19921875" style="48" customWidth="1"/>
    <col min="2833" max="2833" width="14.296875" style="48" bestFit="1" customWidth="1"/>
    <col min="2834" max="2835" width="13.09765625" style="48" bestFit="1" customWidth="1"/>
    <col min="2836" max="2836" width="12.296875" style="48" customWidth="1"/>
    <col min="2837" max="3072" width="8.19921875" style="48"/>
    <col min="3073" max="3073" width="58.19921875" style="48" customWidth="1"/>
    <col min="3074" max="3074" width="16.5" style="48" customWidth="1"/>
    <col min="3075" max="3075" width="14.09765625" style="48" bestFit="1" customWidth="1"/>
    <col min="3076" max="3076" width="16.796875" style="48" customWidth="1"/>
    <col min="3077" max="3077" width="15.19921875" style="48" bestFit="1" customWidth="1"/>
    <col min="3078" max="3078" width="16.796875" style="48" bestFit="1" customWidth="1"/>
    <col min="3079" max="3079" width="12.69921875" style="48" bestFit="1" customWidth="1"/>
    <col min="3080" max="3080" width="8.3984375" style="48" bestFit="1" customWidth="1"/>
    <col min="3081" max="3081" width="12.59765625" style="48" customWidth="1"/>
    <col min="3082" max="3082" width="16.796875" style="48" bestFit="1" customWidth="1"/>
    <col min="3083" max="3083" width="13.796875" style="48" bestFit="1" customWidth="1"/>
    <col min="3084" max="3084" width="15.19921875" style="48" bestFit="1" customWidth="1"/>
    <col min="3085" max="3085" width="14.8984375" style="48" bestFit="1" customWidth="1"/>
    <col min="3086" max="3086" width="16.796875" style="48" bestFit="1" customWidth="1"/>
    <col min="3087" max="3087" width="10.19921875" style="48" bestFit="1" customWidth="1"/>
    <col min="3088" max="3088" width="10.19921875" style="48" customWidth="1"/>
    <col min="3089" max="3089" width="14.296875" style="48" bestFit="1" customWidth="1"/>
    <col min="3090" max="3091" width="13.09765625" style="48" bestFit="1" customWidth="1"/>
    <col min="3092" max="3092" width="12.296875" style="48" customWidth="1"/>
    <col min="3093" max="3328" width="8.19921875" style="48"/>
    <col min="3329" max="3329" width="58.19921875" style="48" customWidth="1"/>
    <col min="3330" max="3330" width="16.5" style="48" customWidth="1"/>
    <col min="3331" max="3331" width="14.09765625" style="48" bestFit="1" customWidth="1"/>
    <col min="3332" max="3332" width="16.796875" style="48" customWidth="1"/>
    <col min="3333" max="3333" width="15.19921875" style="48" bestFit="1" customWidth="1"/>
    <col min="3334" max="3334" width="16.796875" style="48" bestFit="1" customWidth="1"/>
    <col min="3335" max="3335" width="12.69921875" style="48" bestFit="1" customWidth="1"/>
    <col min="3336" max="3336" width="8.3984375" style="48" bestFit="1" customWidth="1"/>
    <col min="3337" max="3337" width="12.59765625" style="48" customWidth="1"/>
    <col min="3338" max="3338" width="16.796875" style="48" bestFit="1" customWidth="1"/>
    <col min="3339" max="3339" width="13.796875" style="48" bestFit="1" customWidth="1"/>
    <col min="3340" max="3340" width="15.19921875" style="48" bestFit="1" customWidth="1"/>
    <col min="3341" max="3341" width="14.8984375" style="48" bestFit="1" customWidth="1"/>
    <col min="3342" max="3342" width="16.796875" style="48" bestFit="1" customWidth="1"/>
    <col min="3343" max="3343" width="10.19921875" style="48" bestFit="1" customWidth="1"/>
    <col min="3344" max="3344" width="10.19921875" style="48" customWidth="1"/>
    <col min="3345" max="3345" width="14.296875" style="48" bestFit="1" customWidth="1"/>
    <col min="3346" max="3347" width="13.09765625" style="48" bestFit="1" customWidth="1"/>
    <col min="3348" max="3348" width="12.296875" style="48" customWidth="1"/>
    <col min="3349" max="3584" width="8.19921875" style="48"/>
    <col min="3585" max="3585" width="58.19921875" style="48" customWidth="1"/>
    <col min="3586" max="3586" width="16.5" style="48" customWidth="1"/>
    <col min="3587" max="3587" width="14.09765625" style="48" bestFit="1" customWidth="1"/>
    <col min="3588" max="3588" width="16.796875" style="48" customWidth="1"/>
    <col min="3589" max="3589" width="15.19921875" style="48" bestFit="1" customWidth="1"/>
    <col min="3590" max="3590" width="16.796875" style="48" bestFit="1" customWidth="1"/>
    <col min="3591" max="3591" width="12.69921875" style="48" bestFit="1" customWidth="1"/>
    <col min="3592" max="3592" width="8.3984375" style="48" bestFit="1" customWidth="1"/>
    <col min="3593" max="3593" width="12.59765625" style="48" customWidth="1"/>
    <col min="3594" max="3594" width="16.796875" style="48" bestFit="1" customWidth="1"/>
    <col min="3595" max="3595" width="13.796875" style="48" bestFit="1" customWidth="1"/>
    <col min="3596" max="3596" width="15.19921875" style="48" bestFit="1" customWidth="1"/>
    <col min="3597" max="3597" width="14.8984375" style="48" bestFit="1" customWidth="1"/>
    <col min="3598" max="3598" width="16.796875" style="48" bestFit="1" customWidth="1"/>
    <col min="3599" max="3599" width="10.19921875" style="48" bestFit="1" customWidth="1"/>
    <col min="3600" max="3600" width="10.19921875" style="48" customWidth="1"/>
    <col min="3601" max="3601" width="14.296875" style="48" bestFit="1" customWidth="1"/>
    <col min="3602" max="3603" width="13.09765625" style="48" bestFit="1" customWidth="1"/>
    <col min="3604" max="3604" width="12.296875" style="48" customWidth="1"/>
    <col min="3605" max="3840" width="8.19921875" style="48"/>
    <col min="3841" max="3841" width="58.19921875" style="48" customWidth="1"/>
    <col min="3842" max="3842" width="16.5" style="48" customWidth="1"/>
    <col min="3843" max="3843" width="14.09765625" style="48" bestFit="1" customWidth="1"/>
    <col min="3844" max="3844" width="16.796875" style="48" customWidth="1"/>
    <col min="3845" max="3845" width="15.19921875" style="48" bestFit="1" customWidth="1"/>
    <col min="3846" max="3846" width="16.796875" style="48" bestFit="1" customWidth="1"/>
    <col min="3847" max="3847" width="12.69921875" style="48" bestFit="1" customWidth="1"/>
    <col min="3848" max="3848" width="8.3984375" style="48" bestFit="1" customWidth="1"/>
    <col min="3849" max="3849" width="12.59765625" style="48" customWidth="1"/>
    <col min="3850" max="3850" width="16.796875" style="48" bestFit="1" customWidth="1"/>
    <col min="3851" max="3851" width="13.796875" style="48" bestFit="1" customWidth="1"/>
    <col min="3852" max="3852" width="15.19921875" style="48" bestFit="1" customWidth="1"/>
    <col min="3853" max="3853" width="14.8984375" style="48" bestFit="1" customWidth="1"/>
    <col min="3854" max="3854" width="16.796875" style="48" bestFit="1" customWidth="1"/>
    <col min="3855" max="3855" width="10.19921875" style="48" bestFit="1" customWidth="1"/>
    <col min="3856" max="3856" width="10.19921875" style="48" customWidth="1"/>
    <col min="3857" max="3857" width="14.296875" style="48" bestFit="1" customWidth="1"/>
    <col min="3858" max="3859" width="13.09765625" style="48" bestFit="1" customWidth="1"/>
    <col min="3860" max="3860" width="12.296875" style="48" customWidth="1"/>
    <col min="3861" max="4096" width="8.19921875" style="48"/>
    <col min="4097" max="4097" width="58.19921875" style="48" customWidth="1"/>
    <col min="4098" max="4098" width="16.5" style="48" customWidth="1"/>
    <col min="4099" max="4099" width="14.09765625" style="48" bestFit="1" customWidth="1"/>
    <col min="4100" max="4100" width="16.796875" style="48" customWidth="1"/>
    <col min="4101" max="4101" width="15.19921875" style="48" bestFit="1" customWidth="1"/>
    <col min="4102" max="4102" width="16.796875" style="48" bestFit="1" customWidth="1"/>
    <col min="4103" max="4103" width="12.69921875" style="48" bestFit="1" customWidth="1"/>
    <col min="4104" max="4104" width="8.3984375" style="48" bestFit="1" customWidth="1"/>
    <col min="4105" max="4105" width="12.59765625" style="48" customWidth="1"/>
    <col min="4106" max="4106" width="16.796875" style="48" bestFit="1" customWidth="1"/>
    <col min="4107" max="4107" width="13.796875" style="48" bestFit="1" customWidth="1"/>
    <col min="4108" max="4108" width="15.19921875" style="48" bestFit="1" customWidth="1"/>
    <col min="4109" max="4109" width="14.8984375" style="48" bestFit="1" customWidth="1"/>
    <col min="4110" max="4110" width="16.796875" style="48" bestFit="1" customWidth="1"/>
    <col min="4111" max="4111" width="10.19921875" style="48" bestFit="1" customWidth="1"/>
    <col min="4112" max="4112" width="10.19921875" style="48" customWidth="1"/>
    <col min="4113" max="4113" width="14.296875" style="48" bestFit="1" customWidth="1"/>
    <col min="4114" max="4115" width="13.09765625" style="48" bestFit="1" customWidth="1"/>
    <col min="4116" max="4116" width="12.296875" style="48" customWidth="1"/>
    <col min="4117" max="4352" width="8.19921875" style="48"/>
    <col min="4353" max="4353" width="58.19921875" style="48" customWidth="1"/>
    <col min="4354" max="4354" width="16.5" style="48" customWidth="1"/>
    <col min="4355" max="4355" width="14.09765625" style="48" bestFit="1" customWidth="1"/>
    <col min="4356" max="4356" width="16.796875" style="48" customWidth="1"/>
    <col min="4357" max="4357" width="15.19921875" style="48" bestFit="1" customWidth="1"/>
    <col min="4358" max="4358" width="16.796875" style="48" bestFit="1" customWidth="1"/>
    <col min="4359" max="4359" width="12.69921875" style="48" bestFit="1" customWidth="1"/>
    <col min="4360" max="4360" width="8.3984375" style="48" bestFit="1" customWidth="1"/>
    <col min="4361" max="4361" width="12.59765625" style="48" customWidth="1"/>
    <col min="4362" max="4362" width="16.796875" style="48" bestFit="1" customWidth="1"/>
    <col min="4363" max="4363" width="13.796875" style="48" bestFit="1" customWidth="1"/>
    <col min="4364" max="4364" width="15.19921875" style="48" bestFit="1" customWidth="1"/>
    <col min="4365" max="4365" width="14.8984375" style="48" bestFit="1" customWidth="1"/>
    <col min="4366" max="4366" width="16.796875" style="48" bestFit="1" customWidth="1"/>
    <col min="4367" max="4367" width="10.19921875" style="48" bestFit="1" customWidth="1"/>
    <col min="4368" max="4368" width="10.19921875" style="48" customWidth="1"/>
    <col min="4369" max="4369" width="14.296875" style="48" bestFit="1" customWidth="1"/>
    <col min="4370" max="4371" width="13.09765625" style="48" bestFit="1" customWidth="1"/>
    <col min="4372" max="4372" width="12.296875" style="48" customWidth="1"/>
    <col min="4373" max="4608" width="8.19921875" style="48"/>
    <col min="4609" max="4609" width="58.19921875" style="48" customWidth="1"/>
    <col min="4610" max="4610" width="16.5" style="48" customWidth="1"/>
    <col min="4611" max="4611" width="14.09765625" style="48" bestFit="1" customWidth="1"/>
    <col min="4612" max="4612" width="16.796875" style="48" customWidth="1"/>
    <col min="4613" max="4613" width="15.19921875" style="48" bestFit="1" customWidth="1"/>
    <col min="4614" max="4614" width="16.796875" style="48" bestFit="1" customWidth="1"/>
    <col min="4615" max="4615" width="12.69921875" style="48" bestFit="1" customWidth="1"/>
    <col min="4616" max="4616" width="8.3984375" style="48" bestFit="1" customWidth="1"/>
    <col min="4617" max="4617" width="12.59765625" style="48" customWidth="1"/>
    <col min="4618" max="4618" width="16.796875" style="48" bestFit="1" customWidth="1"/>
    <col min="4619" max="4619" width="13.796875" style="48" bestFit="1" customWidth="1"/>
    <col min="4620" max="4620" width="15.19921875" style="48" bestFit="1" customWidth="1"/>
    <col min="4621" max="4621" width="14.8984375" style="48" bestFit="1" customWidth="1"/>
    <col min="4622" max="4622" width="16.796875" style="48" bestFit="1" customWidth="1"/>
    <col min="4623" max="4623" width="10.19921875" style="48" bestFit="1" customWidth="1"/>
    <col min="4624" max="4624" width="10.19921875" style="48" customWidth="1"/>
    <col min="4625" max="4625" width="14.296875" style="48" bestFit="1" customWidth="1"/>
    <col min="4626" max="4627" width="13.09765625" style="48" bestFit="1" customWidth="1"/>
    <col min="4628" max="4628" width="12.296875" style="48" customWidth="1"/>
    <col min="4629" max="4864" width="8.19921875" style="48"/>
    <col min="4865" max="4865" width="58.19921875" style="48" customWidth="1"/>
    <col min="4866" max="4866" width="16.5" style="48" customWidth="1"/>
    <col min="4867" max="4867" width="14.09765625" style="48" bestFit="1" customWidth="1"/>
    <col min="4868" max="4868" width="16.796875" style="48" customWidth="1"/>
    <col min="4869" max="4869" width="15.19921875" style="48" bestFit="1" customWidth="1"/>
    <col min="4870" max="4870" width="16.796875" style="48" bestFit="1" customWidth="1"/>
    <col min="4871" max="4871" width="12.69921875" style="48" bestFit="1" customWidth="1"/>
    <col min="4872" max="4872" width="8.3984375" style="48" bestFit="1" customWidth="1"/>
    <col min="4873" max="4873" width="12.59765625" style="48" customWidth="1"/>
    <col min="4874" max="4874" width="16.796875" style="48" bestFit="1" customWidth="1"/>
    <col min="4875" max="4875" width="13.796875" style="48" bestFit="1" customWidth="1"/>
    <col min="4876" max="4876" width="15.19921875" style="48" bestFit="1" customWidth="1"/>
    <col min="4877" max="4877" width="14.8984375" style="48" bestFit="1" customWidth="1"/>
    <col min="4878" max="4878" width="16.796875" style="48" bestFit="1" customWidth="1"/>
    <col min="4879" max="4879" width="10.19921875" style="48" bestFit="1" customWidth="1"/>
    <col min="4880" max="4880" width="10.19921875" style="48" customWidth="1"/>
    <col min="4881" max="4881" width="14.296875" style="48" bestFit="1" customWidth="1"/>
    <col min="4882" max="4883" width="13.09765625" style="48" bestFit="1" customWidth="1"/>
    <col min="4884" max="4884" width="12.296875" style="48" customWidth="1"/>
    <col min="4885" max="5120" width="8.19921875" style="48"/>
    <col min="5121" max="5121" width="58.19921875" style="48" customWidth="1"/>
    <col min="5122" max="5122" width="16.5" style="48" customWidth="1"/>
    <col min="5123" max="5123" width="14.09765625" style="48" bestFit="1" customWidth="1"/>
    <col min="5124" max="5124" width="16.796875" style="48" customWidth="1"/>
    <col min="5125" max="5125" width="15.19921875" style="48" bestFit="1" customWidth="1"/>
    <col min="5126" max="5126" width="16.796875" style="48" bestFit="1" customWidth="1"/>
    <col min="5127" max="5127" width="12.69921875" style="48" bestFit="1" customWidth="1"/>
    <col min="5128" max="5128" width="8.3984375" style="48" bestFit="1" customWidth="1"/>
    <col min="5129" max="5129" width="12.59765625" style="48" customWidth="1"/>
    <col min="5130" max="5130" width="16.796875" style="48" bestFit="1" customWidth="1"/>
    <col min="5131" max="5131" width="13.796875" style="48" bestFit="1" customWidth="1"/>
    <col min="5132" max="5132" width="15.19921875" style="48" bestFit="1" customWidth="1"/>
    <col min="5133" max="5133" width="14.8984375" style="48" bestFit="1" customWidth="1"/>
    <col min="5134" max="5134" width="16.796875" style="48" bestFit="1" customWidth="1"/>
    <col min="5135" max="5135" width="10.19921875" style="48" bestFit="1" customWidth="1"/>
    <col min="5136" max="5136" width="10.19921875" style="48" customWidth="1"/>
    <col min="5137" max="5137" width="14.296875" style="48" bestFit="1" customWidth="1"/>
    <col min="5138" max="5139" width="13.09765625" style="48" bestFit="1" customWidth="1"/>
    <col min="5140" max="5140" width="12.296875" style="48" customWidth="1"/>
    <col min="5141" max="5376" width="8.19921875" style="48"/>
    <col min="5377" max="5377" width="58.19921875" style="48" customWidth="1"/>
    <col min="5378" max="5378" width="16.5" style="48" customWidth="1"/>
    <col min="5379" max="5379" width="14.09765625" style="48" bestFit="1" customWidth="1"/>
    <col min="5380" max="5380" width="16.796875" style="48" customWidth="1"/>
    <col min="5381" max="5381" width="15.19921875" style="48" bestFit="1" customWidth="1"/>
    <col min="5382" max="5382" width="16.796875" style="48" bestFit="1" customWidth="1"/>
    <col min="5383" max="5383" width="12.69921875" style="48" bestFit="1" customWidth="1"/>
    <col min="5384" max="5384" width="8.3984375" style="48" bestFit="1" customWidth="1"/>
    <col min="5385" max="5385" width="12.59765625" style="48" customWidth="1"/>
    <col min="5386" max="5386" width="16.796875" style="48" bestFit="1" customWidth="1"/>
    <col min="5387" max="5387" width="13.796875" style="48" bestFit="1" customWidth="1"/>
    <col min="5388" max="5388" width="15.19921875" style="48" bestFit="1" customWidth="1"/>
    <col min="5389" max="5389" width="14.8984375" style="48" bestFit="1" customWidth="1"/>
    <col min="5390" max="5390" width="16.796875" style="48" bestFit="1" customWidth="1"/>
    <col min="5391" max="5391" width="10.19921875" style="48" bestFit="1" customWidth="1"/>
    <col min="5392" max="5392" width="10.19921875" style="48" customWidth="1"/>
    <col min="5393" max="5393" width="14.296875" style="48" bestFit="1" customWidth="1"/>
    <col min="5394" max="5395" width="13.09765625" style="48" bestFit="1" customWidth="1"/>
    <col min="5396" max="5396" width="12.296875" style="48" customWidth="1"/>
    <col min="5397" max="5632" width="8.19921875" style="48"/>
    <col min="5633" max="5633" width="58.19921875" style="48" customWidth="1"/>
    <col min="5634" max="5634" width="16.5" style="48" customWidth="1"/>
    <col min="5635" max="5635" width="14.09765625" style="48" bestFit="1" customWidth="1"/>
    <col min="5636" max="5636" width="16.796875" style="48" customWidth="1"/>
    <col min="5637" max="5637" width="15.19921875" style="48" bestFit="1" customWidth="1"/>
    <col min="5638" max="5638" width="16.796875" style="48" bestFit="1" customWidth="1"/>
    <col min="5639" max="5639" width="12.69921875" style="48" bestFit="1" customWidth="1"/>
    <col min="5640" max="5640" width="8.3984375" style="48" bestFit="1" customWidth="1"/>
    <col min="5641" max="5641" width="12.59765625" style="48" customWidth="1"/>
    <col min="5642" max="5642" width="16.796875" style="48" bestFit="1" customWidth="1"/>
    <col min="5643" max="5643" width="13.796875" style="48" bestFit="1" customWidth="1"/>
    <col min="5644" max="5644" width="15.19921875" style="48" bestFit="1" customWidth="1"/>
    <col min="5645" max="5645" width="14.8984375" style="48" bestFit="1" customWidth="1"/>
    <col min="5646" max="5646" width="16.796875" style="48" bestFit="1" customWidth="1"/>
    <col min="5647" max="5647" width="10.19921875" style="48" bestFit="1" customWidth="1"/>
    <col min="5648" max="5648" width="10.19921875" style="48" customWidth="1"/>
    <col min="5649" max="5649" width="14.296875" style="48" bestFit="1" customWidth="1"/>
    <col min="5650" max="5651" width="13.09765625" style="48" bestFit="1" customWidth="1"/>
    <col min="5652" max="5652" width="12.296875" style="48" customWidth="1"/>
    <col min="5653" max="5888" width="8.19921875" style="48"/>
    <col min="5889" max="5889" width="58.19921875" style="48" customWidth="1"/>
    <col min="5890" max="5890" width="16.5" style="48" customWidth="1"/>
    <col min="5891" max="5891" width="14.09765625" style="48" bestFit="1" customWidth="1"/>
    <col min="5892" max="5892" width="16.796875" style="48" customWidth="1"/>
    <col min="5893" max="5893" width="15.19921875" style="48" bestFit="1" customWidth="1"/>
    <col min="5894" max="5894" width="16.796875" style="48" bestFit="1" customWidth="1"/>
    <col min="5895" max="5895" width="12.69921875" style="48" bestFit="1" customWidth="1"/>
    <col min="5896" max="5896" width="8.3984375" style="48" bestFit="1" customWidth="1"/>
    <col min="5897" max="5897" width="12.59765625" style="48" customWidth="1"/>
    <col min="5898" max="5898" width="16.796875" style="48" bestFit="1" customWidth="1"/>
    <col min="5899" max="5899" width="13.796875" style="48" bestFit="1" customWidth="1"/>
    <col min="5900" max="5900" width="15.19921875" style="48" bestFit="1" customWidth="1"/>
    <col min="5901" max="5901" width="14.8984375" style="48" bestFit="1" customWidth="1"/>
    <col min="5902" max="5902" width="16.796875" style="48" bestFit="1" customWidth="1"/>
    <col min="5903" max="5903" width="10.19921875" style="48" bestFit="1" customWidth="1"/>
    <col min="5904" max="5904" width="10.19921875" style="48" customWidth="1"/>
    <col min="5905" max="5905" width="14.296875" style="48" bestFit="1" customWidth="1"/>
    <col min="5906" max="5907" width="13.09765625" style="48" bestFit="1" customWidth="1"/>
    <col min="5908" max="5908" width="12.296875" style="48" customWidth="1"/>
    <col min="5909" max="6144" width="8.19921875" style="48"/>
    <col min="6145" max="6145" width="58.19921875" style="48" customWidth="1"/>
    <col min="6146" max="6146" width="16.5" style="48" customWidth="1"/>
    <col min="6147" max="6147" width="14.09765625" style="48" bestFit="1" customWidth="1"/>
    <col min="6148" max="6148" width="16.796875" style="48" customWidth="1"/>
    <col min="6149" max="6149" width="15.19921875" style="48" bestFit="1" customWidth="1"/>
    <col min="6150" max="6150" width="16.796875" style="48" bestFit="1" customWidth="1"/>
    <col min="6151" max="6151" width="12.69921875" style="48" bestFit="1" customWidth="1"/>
    <col min="6152" max="6152" width="8.3984375" style="48" bestFit="1" customWidth="1"/>
    <col min="6153" max="6153" width="12.59765625" style="48" customWidth="1"/>
    <col min="6154" max="6154" width="16.796875" style="48" bestFit="1" customWidth="1"/>
    <col min="6155" max="6155" width="13.796875" style="48" bestFit="1" customWidth="1"/>
    <col min="6156" max="6156" width="15.19921875" style="48" bestFit="1" customWidth="1"/>
    <col min="6157" max="6157" width="14.8984375" style="48" bestFit="1" customWidth="1"/>
    <col min="6158" max="6158" width="16.796875" style="48" bestFit="1" customWidth="1"/>
    <col min="6159" max="6159" width="10.19921875" style="48" bestFit="1" customWidth="1"/>
    <col min="6160" max="6160" width="10.19921875" style="48" customWidth="1"/>
    <col min="6161" max="6161" width="14.296875" style="48" bestFit="1" customWidth="1"/>
    <col min="6162" max="6163" width="13.09765625" style="48" bestFit="1" customWidth="1"/>
    <col min="6164" max="6164" width="12.296875" style="48" customWidth="1"/>
    <col min="6165" max="6400" width="8.19921875" style="48"/>
    <col min="6401" max="6401" width="58.19921875" style="48" customWidth="1"/>
    <col min="6402" max="6402" width="16.5" style="48" customWidth="1"/>
    <col min="6403" max="6403" width="14.09765625" style="48" bestFit="1" customWidth="1"/>
    <col min="6404" max="6404" width="16.796875" style="48" customWidth="1"/>
    <col min="6405" max="6405" width="15.19921875" style="48" bestFit="1" customWidth="1"/>
    <col min="6406" max="6406" width="16.796875" style="48" bestFit="1" customWidth="1"/>
    <col min="6407" max="6407" width="12.69921875" style="48" bestFit="1" customWidth="1"/>
    <col min="6408" max="6408" width="8.3984375" style="48" bestFit="1" customWidth="1"/>
    <col min="6409" max="6409" width="12.59765625" style="48" customWidth="1"/>
    <col min="6410" max="6410" width="16.796875" style="48" bestFit="1" customWidth="1"/>
    <col min="6411" max="6411" width="13.796875" style="48" bestFit="1" customWidth="1"/>
    <col min="6412" max="6412" width="15.19921875" style="48" bestFit="1" customWidth="1"/>
    <col min="6413" max="6413" width="14.8984375" style="48" bestFit="1" customWidth="1"/>
    <col min="6414" max="6414" width="16.796875" style="48" bestFit="1" customWidth="1"/>
    <col min="6415" max="6415" width="10.19921875" style="48" bestFit="1" customWidth="1"/>
    <col min="6416" max="6416" width="10.19921875" style="48" customWidth="1"/>
    <col min="6417" max="6417" width="14.296875" style="48" bestFit="1" customWidth="1"/>
    <col min="6418" max="6419" width="13.09765625" style="48" bestFit="1" customWidth="1"/>
    <col min="6420" max="6420" width="12.296875" style="48" customWidth="1"/>
    <col min="6421" max="6656" width="8.19921875" style="48"/>
    <col min="6657" max="6657" width="58.19921875" style="48" customWidth="1"/>
    <col min="6658" max="6658" width="16.5" style="48" customWidth="1"/>
    <col min="6659" max="6659" width="14.09765625" style="48" bestFit="1" customWidth="1"/>
    <col min="6660" max="6660" width="16.796875" style="48" customWidth="1"/>
    <col min="6661" max="6661" width="15.19921875" style="48" bestFit="1" customWidth="1"/>
    <col min="6662" max="6662" width="16.796875" style="48" bestFit="1" customWidth="1"/>
    <col min="6663" max="6663" width="12.69921875" style="48" bestFit="1" customWidth="1"/>
    <col min="6664" max="6664" width="8.3984375" style="48" bestFit="1" customWidth="1"/>
    <col min="6665" max="6665" width="12.59765625" style="48" customWidth="1"/>
    <col min="6666" max="6666" width="16.796875" style="48" bestFit="1" customWidth="1"/>
    <col min="6667" max="6667" width="13.796875" style="48" bestFit="1" customWidth="1"/>
    <col min="6668" max="6668" width="15.19921875" style="48" bestFit="1" customWidth="1"/>
    <col min="6669" max="6669" width="14.8984375" style="48" bestFit="1" customWidth="1"/>
    <col min="6670" max="6670" width="16.796875" style="48" bestFit="1" customWidth="1"/>
    <col min="6671" max="6671" width="10.19921875" style="48" bestFit="1" customWidth="1"/>
    <col min="6672" max="6672" width="10.19921875" style="48" customWidth="1"/>
    <col min="6673" max="6673" width="14.296875" style="48" bestFit="1" customWidth="1"/>
    <col min="6674" max="6675" width="13.09765625" style="48" bestFit="1" customWidth="1"/>
    <col min="6676" max="6676" width="12.296875" style="48" customWidth="1"/>
    <col min="6677" max="6912" width="8.19921875" style="48"/>
    <col min="6913" max="6913" width="58.19921875" style="48" customWidth="1"/>
    <col min="6914" max="6914" width="16.5" style="48" customWidth="1"/>
    <col min="6915" max="6915" width="14.09765625" style="48" bestFit="1" customWidth="1"/>
    <col min="6916" max="6916" width="16.796875" style="48" customWidth="1"/>
    <col min="6917" max="6917" width="15.19921875" style="48" bestFit="1" customWidth="1"/>
    <col min="6918" max="6918" width="16.796875" style="48" bestFit="1" customWidth="1"/>
    <col min="6919" max="6919" width="12.69921875" style="48" bestFit="1" customWidth="1"/>
    <col min="6920" max="6920" width="8.3984375" style="48" bestFit="1" customWidth="1"/>
    <col min="6921" max="6921" width="12.59765625" style="48" customWidth="1"/>
    <col min="6922" max="6922" width="16.796875" style="48" bestFit="1" customWidth="1"/>
    <col min="6923" max="6923" width="13.796875" style="48" bestFit="1" customWidth="1"/>
    <col min="6924" max="6924" width="15.19921875" style="48" bestFit="1" customWidth="1"/>
    <col min="6925" max="6925" width="14.8984375" style="48" bestFit="1" customWidth="1"/>
    <col min="6926" max="6926" width="16.796875" style="48" bestFit="1" customWidth="1"/>
    <col min="6927" max="6927" width="10.19921875" style="48" bestFit="1" customWidth="1"/>
    <col min="6928" max="6928" width="10.19921875" style="48" customWidth="1"/>
    <col min="6929" max="6929" width="14.296875" style="48" bestFit="1" customWidth="1"/>
    <col min="6930" max="6931" width="13.09765625" style="48" bestFit="1" customWidth="1"/>
    <col min="6932" max="6932" width="12.296875" style="48" customWidth="1"/>
    <col min="6933" max="7168" width="8.19921875" style="48"/>
    <col min="7169" max="7169" width="58.19921875" style="48" customWidth="1"/>
    <col min="7170" max="7170" width="16.5" style="48" customWidth="1"/>
    <col min="7171" max="7171" width="14.09765625" style="48" bestFit="1" customWidth="1"/>
    <col min="7172" max="7172" width="16.796875" style="48" customWidth="1"/>
    <col min="7173" max="7173" width="15.19921875" style="48" bestFit="1" customWidth="1"/>
    <col min="7174" max="7174" width="16.796875" style="48" bestFit="1" customWidth="1"/>
    <col min="7175" max="7175" width="12.69921875" style="48" bestFit="1" customWidth="1"/>
    <col min="7176" max="7176" width="8.3984375" style="48" bestFit="1" customWidth="1"/>
    <col min="7177" max="7177" width="12.59765625" style="48" customWidth="1"/>
    <col min="7178" max="7178" width="16.796875" style="48" bestFit="1" customWidth="1"/>
    <col min="7179" max="7179" width="13.796875" style="48" bestFit="1" customWidth="1"/>
    <col min="7180" max="7180" width="15.19921875" style="48" bestFit="1" customWidth="1"/>
    <col min="7181" max="7181" width="14.8984375" style="48" bestFit="1" customWidth="1"/>
    <col min="7182" max="7182" width="16.796875" style="48" bestFit="1" customWidth="1"/>
    <col min="7183" max="7183" width="10.19921875" style="48" bestFit="1" customWidth="1"/>
    <col min="7184" max="7184" width="10.19921875" style="48" customWidth="1"/>
    <col min="7185" max="7185" width="14.296875" style="48" bestFit="1" customWidth="1"/>
    <col min="7186" max="7187" width="13.09765625" style="48" bestFit="1" customWidth="1"/>
    <col min="7188" max="7188" width="12.296875" style="48" customWidth="1"/>
    <col min="7189" max="7424" width="8.19921875" style="48"/>
    <col min="7425" max="7425" width="58.19921875" style="48" customWidth="1"/>
    <col min="7426" max="7426" width="16.5" style="48" customWidth="1"/>
    <col min="7427" max="7427" width="14.09765625" style="48" bestFit="1" customWidth="1"/>
    <col min="7428" max="7428" width="16.796875" style="48" customWidth="1"/>
    <col min="7429" max="7429" width="15.19921875" style="48" bestFit="1" customWidth="1"/>
    <col min="7430" max="7430" width="16.796875" style="48" bestFit="1" customWidth="1"/>
    <col min="7431" max="7431" width="12.69921875" style="48" bestFit="1" customWidth="1"/>
    <col min="7432" max="7432" width="8.3984375" style="48" bestFit="1" customWidth="1"/>
    <col min="7433" max="7433" width="12.59765625" style="48" customWidth="1"/>
    <col min="7434" max="7434" width="16.796875" style="48" bestFit="1" customWidth="1"/>
    <col min="7435" max="7435" width="13.796875" style="48" bestFit="1" customWidth="1"/>
    <col min="7436" max="7436" width="15.19921875" style="48" bestFit="1" customWidth="1"/>
    <col min="7437" max="7437" width="14.8984375" style="48" bestFit="1" customWidth="1"/>
    <col min="7438" max="7438" width="16.796875" style="48" bestFit="1" customWidth="1"/>
    <col min="7439" max="7439" width="10.19921875" style="48" bestFit="1" customWidth="1"/>
    <col min="7440" max="7440" width="10.19921875" style="48" customWidth="1"/>
    <col min="7441" max="7441" width="14.296875" style="48" bestFit="1" customWidth="1"/>
    <col min="7442" max="7443" width="13.09765625" style="48" bestFit="1" customWidth="1"/>
    <col min="7444" max="7444" width="12.296875" style="48" customWidth="1"/>
    <col min="7445" max="7680" width="8.19921875" style="48"/>
    <col min="7681" max="7681" width="58.19921875" style="48" customWidth="1"/>
    <col min="7682" max="7682" width="16.5" style="48" customWidth="1"/>
    <col min="7683" max="7683" width="14.09765625" style="48" bestFit="1" customWidth="1"/>
    <col min="7684" max="7684" width="16.796875" style="48" customWidth="1"/>
    <col min="7685" max="7685" width="15.19921875" style="48" bestFit="1" customWidth="1"/>
    <col min="7686" max="7686" width="16.796875" style="48" bestFit="1" customWidth="1"/>
    <col min="7687" max="7687" width="12.69921875" style="48" bestFit="1" customWidth="1"/>
    <col min="7688" max="7688" width="8.3984375" style="48" bestFit="1" customWidth="1"/>
    <col min="7689" max="7689" width="12.59765625" style="48" customWidth="1"/>
    <col min="7690" max="7690" width="16.796875" style="48" bestFit="1" customWidth="1"/>
    <col min="7691" max="7691" width="13.796875" style="48" bestFit="1" customWidth="1"/>
    <col min="7692" max="7692" width="15.19921875" style="48" bestFit="1" customWidth="1"/>
    <col min="7693" max="7693" width="14.8984375" style="48" bestFit="1" customWidth="1"/>
    <col min="7694" max="7694" width="16.796875" style="48" bestFit="1" customWidth="1"/>
    <col min="7695" max="7695" width="10.19921875" style="48" bestFit="1" customWidth="1"/>
    <col min="7696" max="7696" width="10.19921875" style="48" customWidth="1"/>
    <col min="7697" max="7697" width="14.296875" style="48" bestFit="1" customWidth="1"/>
    <col min="7698" max="7699" width="13.09765625" style="48" bestFit="1" customWidth="1"/>
    <col min="7700" max="7700" width="12.296875" style="48" customWidth="1"/>
    <col min="7701" max="7936" width="8.19921875" style="48"/>
    <col min="7937" max="7937" width="58.19921875" style="48" customWidth="1"/>
    <col min="7938" max="7938" width="16.5" style="48" customWidth="1"/>
    <col min="7939" max="7939" width="14.09765625" style="48" bestFit="1" customWidth="1"/>
    <col min="7940" max="7940" width="16.796875" style="48" customWidth="1"/>
    <col min="7941" max="7941" width="15.19921875" style="48" bestFit="1" customWidth="1"/>
    <col min="7942" max="7942" width="16.796875" style="48" bestFit="1" customWidth="1"/>
    <col min="7943" max="7943" width="12.69921875" style="48" bestFit="1" customWidth="1"/>
    <col min="7944" max="7944" width="8.3984375" style="48" bestFit="1" customWidth="1"/>
    <col min="7945" max="7945" width="12.59765625" style="48" customWidth="1"/>
    <col min="7946" max="7946" width="16.796875" style="48" bestFit="1" customWidth="1"/>
    <col min="7947" max="7947" width="13.796875" style="48" bestFit="1" customWidth="1"/>
    <col min="7948" max="7948" width="15.19921875" style="48" bestFit="1" customWidth="1"/>
    <col min="7949" max="7949" width="14.8984375" style="48" bestFit="1" customWidth="1"/>
    <col min="7950" max="7950" width="16.796875" style="48" bestFit="1" customWidth="1"/>
    <col min="7951" max="7951" width="10.19921875" style="48" bestFit="1" customWidth="1"/>
    <col min="7952" max="7952" width="10.19921875" style="48" customWidth="1"/>
    <col min="7953" max="7953" width="14.296875" style="48" bestFit="1" customWidth="1"/>
    <col min="7954" max="7955" width="13.09765625" style="48" bestFit="1" customWidth="1"/>
    <col min="7956" max="7956" width="12.296875" style="48" customWidth="1"/>
    <col min="7957" max="8192" width="8.19921875" style="48"/>
    <col min="8193" max="8193" width="58.19921875" style="48" customWidth="1"/>
    <col min="8194" max="8194" width="16.5" style="48" customWidth="1"/>
    <col min="8195" max="8195" width="14.09765625" style="48" bestFit="1" customWidth="1"/>
    <col min="8196" max="8196" width="16.796875" style="48" customWidth="1"/>
    <col min="8197" max="8197" width="15.19921875" style="48" bestFit="1" customWidth="1"/>
    <col min="8198" max="8198" width="16.796875" style="48" bestFit="1" customWidth="1"/>
    <col min="8199" max="8199" width="12.69921875" style="48" bestFit="1" customWidth="1"/>
    <col min="8200" max="8200" width="8.3984375" style="48" bestFit="1" customWidth="1"/>
    <col min="8201" max="8201" width="12.59765625" style="48" customWidth="1"/>
    <col min="8202" max="8202" width="16.796875" style="48" bestFit="1" customWidth="1"/>
    <col min="8203" max="8203" width="13.796875" style="48" bestFit="1" customWidth="1"/>
    <col min="8204" max="8204" width="15.19921875" style="48" bestFit="1" customWidth="1"/>
    <col min="8205" max="8205" width="14.8984375" style="48" bestFit="1" customWidth="1"/>
    <col min="8206" max="8206" width="16.796875" style="48" bestFit="1" customWidth="1"/>
    <col min="8207" max="8207" width="10.19921875" style="48" bestFit="1" customWidth="1"/>
    <col min="8208" max="8208" width="10.19921875" style="48" customWidth="1"/>
    <col min="8209" max="8209" width="14.296875" style="48" bestFit="1" customWidth="1"/>
    <col min="8210" max="8211" width="13.09765625" style="48" bestFit="1" customWidth="1"/>
    <col min="8212" max="8212" width="12.296875" style="48" customWidth="1"/>
    <col min="8213" max="8448" width="8.19921875" style="48"/>
    <col min="8449" max="8449" width="58.19921875" style="48" customWidth="1"/>
    <col min="8450" max="8450" width="16.5" style="48" customWidth="1"/>
    <col min="8451" max="8451" width="14.09765625" style="48" bestFit="1" customWidth="1"/>
    <col min="8452" max="8452" width="16.796875" style="48" customWidth="1"/>
    <col min="8453" max="8453" width="15.19921875" style="48" bestFit="1" customWidth="1"/>
    <col min="8454" max="8454" width="16.796875" style="48" bestFit="1" customWidth="1"/>
    <col min="8455" max="8455" width="12.69921875" style="48" bestFit="1" customWidth="1"/>
    <col min="8456" max="8456" width="8.3984375" style="48" bestFit="1" customWidth="1"/>
    <col min="8457" max="8457" width="12.59765625" style="48" customWidth="1"/>
    <col min="8458" max="8458" width="16.796875" style="48" bestFit="1" customWidth="1"/>
    <col min="8459" max="8459" width="13.796875" style="48" bestFit="1" customWidth="1"/>
    <col min="8460" max="8460" width="15.19921875" style="48" bestFit="1" customWidth="1"/>
    <col min="8461" max="8461" width="14.8984375" style="48" bestFit="1" customWidth="1"/>
    <col min="8462" max="8462" width="16.796875" style="48" bestFit="1" customWidth="1"/>
    <col min="8463" max="8463" width="10.19921875" style="48" bestFit="1" customWidth="1"/>
    <col min="8464" max="8464" width="10.19921875" style="48" customWidth="1"/>
    <col min="8465" max="8465" width="14.296875" style="48" bestFit="1" customWidth="1"/>
    <col min="8466" max="8467" width="13.09765625" style="48" bestFit="1" customWidth="1"/>
    <col min="8468" max="8468" width="12.296875" style="48" customWidth="1"/>
    <col min="8469" max="8704" width="8.19921875" style="48"/>
    <col min="8705" max="8705" width="58.19921875" style="48" customWidth="1"/>
    <col min="8706" max="8706" width="16.5" style="48" customWidth="1"/>
    <col min="8707" max="8707" width="14.09765625" style="48" bestFit="1" customWidth="1"/>
    <col min="8708" max="8708" width="16.796875" style="48" customWidth="1"/>
    <col min="8709" max="8709" width="15.19921875" style="48" bestFit="1" customWidth="1"/>
    <col min="8710" max="8710" width="16.796875" style="48" bestFit="1" customWidth="1"/>
    <col min="8711" max="8711" width="12.69921875" style="48" bestFit="1" customWidth="1"/>
    <col min="8712" max="8712" width="8.3984375" style="48" bestFit="1" customWidth="1"/>
    <col min="8713" max="8713" width="12.59765625" style="48" customWidth="1"/>
    <col min="8714" max="8714" width="16.796875" style="48" bestFit="1" customWidth="1"/>
    <col min="8715" max="8715" width="13.796875" style="48" bestFit="1" customWidth="1"/>
    <col min="8716" max="8716" width="15.19921875" style="48" bestFit="1" customWidth="1"/>
    <col min="8717" max="8717" width="14.8984375" style="48" bestFit="1" customWidth="1"/>
    <col min="8718" max="8718" width="16.796875" style="48" bestFit="1" customWidth="1"/>
    <col min="8719" max="8719" width="10.19921875" style="48" bestFit="1" customWidth="1"/>
    <col min="8720" max="8720" width="10.19921875" style="48" customWidth="1"/>
    <col min="8721" max="8721" width="14.296875" style="48" bestFit="1" customWidth="1"/>
    <col min="8722" max="8723" width="13.09765625" style="48" bestFit="1" customWidth="1"/>
    <col min="8724" max="8724" width="12.296875" style="48" customWidth="1"/>
    <col min="8725" max="8960" width="8.19921875" style="48"/>
    <col min="8961" max="8961" width="58.19921875" style="48" customWidth="1"/>
    <col min="8962" max="8962" width="16.5" style="48" customWidth="1"/>
    <col min="8963" max="8963" width="14.09765625" style="48" bestFit="1" customWidth="1"/>
    <col min="8964" max="8964" width="16.796875" style="48" customWidth="1"/>
    <col min="8965" max="8965" width="15.19921875" style="48" bestFit="1" customWidth="1"/>
    <col min="8966" max="8966" width="16.796875" style="48" bestFit="1" customWidth="1"/>
    <col min="8967" max="8967" width="12.69921875" style="48" bestFit="1" customWidth="1"/>
    <col min="8968" max="8968" width="8.3984375" style="48" bestFit="1" customWidth="1"/>
    <col min="8969" max="8969" width="12.59765625" style="48" customWidth="1"/>
    <col min="8970" max="8970" width="16.796875" style="48" bestFit="1" customWidth="1"/>
    <col min="8971" max="8971" width="13.796875" style="48" bestFit="1" customWidth="1"/>
    <col min="8972" max="8972" width="15.19921875" style="48" bestFit="1" customWidth="1"/>
    <col min="8973" max="8973" width="14.8984375" style="48" bestFit="1" customWidth="1"/>
    <col min="8974" max="8974" width="16.796875" style="48" bestFit="1" customWidth="1"/>
    <col min="8975" max="8975" width="10.19921875" style="48" bestFit="1" customWidth="1"/>
    <col min="8976" max="8976" width="10.19921875" style="48" customWidth="1"/>
    <col min="8977" max="8977" width="14.296875" style="48" bestFit="1" customWidth="1"/>
    <col min="8978" max="8979" width="13.09765625" style="48" bestFit="1" customWidth="1"/>
    <col min="8980" max="8980" width="12.296875" style="48" customWidth="1"/>
    <col min="8981" max="9216" width="8.19921875" style="48"/>
    <col min="9217" max="9217" width="58.19921875" style="48" customWidth="1"/>
    <col min="9218" max="9218" width="16.5" style="48" customWidth="1"/>
    <col min="9219" max="9219" width="14.09765625" style="48" bestFit="1" customWidth="1"/>
    <col min="9220" max="9220" width="16.796875" style="48" customWidth="1"/>
    <col min="9221" max="9221" width="15.19921875" style="48" bestFit="1" customWidth="1"/>
    <col min="9222" max="9222" width="16.796875" style="48" bestFit="1" customWidth="1"/>
    <col min="9223" max="9223" width="12.69921875" style="48" bestFit="1" customWidth="1"/>
    <col min="9224" max="9224" width="8.3984375" style="48" bestFit="1" customWidth="1"/>
    <col min="9225" max="9225" width="12.59765625" style="48" customWidth="1"/>
    <col min="9226" max="9226" width="16.796875" style="48" bestFit="1" customWidth="1"/>
    <col min="9227" max="9227" width="13.796875" style="48" bestFit="1" customWidth="1"/>
    <col min="9228" max="9228" width="15.19921875" style="48" bestFit="1" customWidth="1"/>
    <col min="9229" max="9229" width="14.8984375" style="48" bestFit="1" customWidth="1"/>
    <col min="9230" max="9230" width="16.796875" style="48" bestFit="1" customWidth="1"/>
    <col min="9231" max="9231" width="10.19921875" style="48" bestFit="1" customWidth="1"/>
    <col min="9232" max="9232" width="10.19921875" style="48" customWidth="1"/>
    <col min="9233" max="9233" width="14.296875" style="48" bestFit="1" customWidth="1"/>
    <col min="9234" max="9235" width="13.09765625" style="48" bestFit="1" customWidth="1"/>
    <col min="9236" max="9236" width="12.296875" style="48" customWidth="1"/>
    <col min="9237" max="9472" width="8.19921875" style="48"/>
    <col min="9473" max="9473" width="58.19921875" style="48" customWidth="1"/>
    <col min="9474" max="9474" width="16.5" style="48" customWidth="1"/>
    <col min="9475" max="9475" width="14.09765625" style="48" bestFit="1" customWidth="1"/>
    <col min="9476" max="9476" width="16.796875" style="48" customWidth="1"/>
    <col min="9477" max="9477" width="15.19921875" style="48" bestFit="1" customWidth="1"/>
    <col min="9478" max="9478" width="16.796875" style="48" bestFit="1" customWidth="1"/>
    <col min="9479" max="9479" width="12.69921875" style="48" bestFit="1" customWidth="1"/>
    <col min="9480" max="9480" width="8.3984375" style="48" bestFit="1" customWidth="1"/>
    <col min="9481" max="9481" width="12.59765625" style="48" customWidth="1"/>
    <col min="9482" max="9482" width="16.796875" style="48" bestFit="1" customWidth="1"/>
    <col min="9483" max="9483" width="13.796875" style="48" bestFit="1" customWidth="1"/>
    <col min="9484" max="9484" width="15.19921875" style="48" bestFit="1" customWidth="1"/>
    <col min="9485" max="9485" width="14.8984375" style="48" bestFit="1" customWidth="1"/>
    <col min="9486" max="9486" width="16.796875" style="48" bestFit="1" customWidth="1"/>
    <col min="9487" max="9487" width="10.19921875" style="48" bestFit="1" customWidth="1"/>
    <col min="9488" max="9488" width="10.19921875" style="48" customWidth="1"/>
    <col min="9489" max="9489" width="14.296875" style="48" bestFit="1" customWidth="1"/>
    <col min="9490" max="9491" width="13.09765625" style="48" bestFit="1" customWidth="1"/>
    <col min="9492" max="9492" width="12.296875" style="48" customWidth="1"/>
    <col min="9493" max="9728" width="8.19921875" style="48"/>
    <col min="9729" max="9729" width="58.19921875" style="48" customWidth="1"/>
    <col min="9730" max="9730" width="16.5" style="48" customWidth="1"/>
    <col min="9731" max="9731" width="14.09765625" style="48" bestFit="1" customWidth="1"/>
    <col min="9732" max="9732" width="16.796875" style="48" customWidth="1"/>
    <col min="9733" max="9733" width="15.19921875" style="48" bestFit="1" customWidth="1"/>
    <col min="9734" max="9734" width="16.796875" style="48" bestFit="1" customWidth="1"/>
    <col min="9735" max="9735" width="12.69921875" style="48" bestFit="1" customWidth="1"/>
    <col min="9736" max="9736" width="8.3984375" style="48" bestFit="1" customWidth="1"/>
    <col min="9737" max="9737" width="12.59765625" style="48" customWidth="1"/>
    <col min="9738" max="9738" width="16.796875" style="48" bestFit="1" customWidth="1"/>
    <col min="9739" max="9739" width="13.796875" style="48" bestFit="1" customWidth="1"/>
    <col min="9740" max="9740" width="15.19921875" style="48" bestFit="1" customWidth="1"/>
    <col min="9741" max="9741" width="14.8984375" style="48" bestFit="1" customWidth="1"/>
    <col min="9742" max="9742" width="16.796875" style="48" bestFit="1" customWidth="1"/>
    <col min="9743" max="9743" width="10.19921875" style="48" bestFit="1" customWidth="1"/>
    <col min="9744" max="9744" width="10.19921875" style="48" customWidth="1"/>
    <col min="9745" max="9745" width="14.296875" style="48" bestFit="1" customWidth="1"/>
    <col min="9746" max="9747" width="13.09765625" style="48" bestFit="1" customWidth="1"/>
    <col min="9748" max="9748" width="12.296875" style="48" customWidth="1"/>
    <col min="9749" max="9984" width="8.19921875" style="48"/>
    <col min="9985" max="9985" width="58.19921875" style="48" customWidth="1"/>
    <col min="9986" max="9986" width="16.5" style="48" customWidth="1"/>
    <col min="9987" max="9987" width="14.09765625" style="48" bestFit="1" customWidth="1"/>
    <col min="9988" max="9988" width="16.796875" style="48" customWidth="1"/>
    <col min="9989" max="9989" width="15.19921875" style="48" bestFit="1" customWidth="1"/>
    <col min="9990" max="9990" width="16.796875" style="48" bestFit="1" customWidth="1"/>
    <col min="9991" max="9991" width="12.69921875" style="48" bestFit="1" customWidth="1"/>
    <col min="9992" max="9992" width="8.3984375" style="48" bestFit="1" customWidth="1"/>
    <col min="9993" max="9993" width="12.59765625" style="48" customWidth="1"/>
    <col min="9994" max="9994" width="16.796875" style="48" bestFit="1" customWidth="1"/>
    <col min="9995" max="9995" width="13.796875" style="48" bestFit="1" customWidth="1"/>
    <col min="9996" max="9996" width="15.19921875" style="48" bestFit="1" customWidth="1"/>
    <col min="9997" max="9997" width="14.8984375" style="48" bestFit="1" customWidth="1"/>
    <col min="9998" max="9998" width="16.796875" style="48" bestFit="1" customWidth="1"/>
    <col min="9999" max="9999" width="10.19921875" style="48" bestFit="1" customWidth="1"/>
    <col min="10000" max="10000" width="10.19921875" style="48" customWidth="1"/>
    <col min="10001" max="10001" width="14.296875" style="48" bestFit="1" customWidth="1"/>
    <col min="10002" max="10003" width="13.09765625" style="48" bestFit="1" customWidth="1"/>
    <col min="10004" max="10004" width="12.296875" style="48" customWidth="1"/>
    <col min="10005" max="10240" width="8.19921875" style="48"/>
    <col min="10241" max="10241" width="58.19921875" style="48" customWidth="1"/>
    <col min="10242" max="10242" width="16.5" style="48" customWidth="1"/>
    <col min="10243" max="10243" width="14.09765625" style="48" bestFit="1" customWidth="1"/>
    <col min="10244" max="10244" width="16.796875" style="48" customWidth="1"/>
    <col min="10245" max="10245" width="15.19921875" style="48" bestFit="1" customWidth="1"/>
    <col min="10246" max="10246" width="16.796875" style="48" bestFit="1" customWidth="1"/>
    <col min="10247" max="10247" width="12.69921875" style="48" bestFit="1" customWidth="1"/>
    <col min="10248" max="10248" width="8.3984375" style="48" bestFit="1" customWidth="1"/>
    <col min="10249" max="10249" width="12.59765625" style="48" customWidth="1"/>
    <col min="10250" max="10250" width="16.796875" style="48" bestFit="1" customWidth="1"/>
    <col min="10251" max="10251" width="13.796875" style="48" bestFit="1" customWidth="1"/>
    <col min="10252" max="10252" width="15.19921875" style="48" bestFit="1" customWidth="1"/>
    <col min="10253" max="10253" width="14.8984375" style="48" bestFit="1" customWidth="1"/>
    <col min="10254" max="10254" width="16.796875" style="48" bestFit="1" customWidth="1"/>
    <col min="10255" max="10255" width="10.19921875" style="48" bestFit="1" customWidth="1"/>
    <col min="10256" max="10256" width="10.19921875" style="48" customWidth="1"/>
    <col min="10257" max="10257" width="14.296875" style="48" bestFit="1" customWidth="1"/>
    <col min="10258" max="10259" width="13.09765625" style="48" bestFit="1" customWidth="1"/>
    <col min="10260" max="10260" width="12.296875" style="48" customWidth="1"/>
    <col min="10261" max="10496" width="8.19921875" style="48"/>
    <col min="10497" max="10497" width="58.19921875" style="48" customWidth="1"/>
    <col min="10498" max="10498" width="16.5" style="48" customWidth="1"/>
    <col min="10499" max="10499" width="14.09765625" style="48" bestFit="1" customWidth="1"/>
    <col min="10500" max="10500" width="16.796875" style="48" customWidth="1"/>
    <col min="10501" max="10501" width="15.19921875" style="48" bestFit="1" customWidth="1"/>
    <col min="10502" max="10502" width="16.796875" style="48" bestFit="1" customWidth="1"/>
    <col min="10503" max="10503" width="12.69921875" style="48" bestFit="1" customWidth="1"/>
    <col min="10504" max="10504" width="8.3984375" style="48" bestFit="1" customWidth="1"/>
    <col min="10505" max="10505" width="12.59765625" style="48" customWidth="1"/>
    <col min="10506" max="10506" width="16.796875" style="48" bestFit="1" customWidth="1"/>
    <col min="10507" max="10507" width="13.796875" style="48" bestFit="1" customWidth="1"/>
    <col min="10508" max="10508" width="15.19921875" style="48" bestFit="1" customWidth="1"/>
    <col min="10509" max="10509" width="14.8984375" style="48" bestFit="1" customWidth="1"/>
    <col min="10510" max="10510" width="16.796875" style="48" bestFit="1" customWidth="1"/>
    <col min="10511" max="10511" width="10.19921875" style="48" bestFit="1" customWidth="1"/>
    <col min="10512" max="10512" width="10.19921875" style="48" customWidth="1"/>
    <col min="10513" max="10513" width="14.296875" style="48" bestFit="1" customWidth="1"/>
    <col min="10514" max="10515" width="13.09765625" style="48" bestFit="1" customWidth="1"/>
    <col min="10516" max="10516" width="12.296875" style="48" customWidth="1"/>
    <col min="10517" max="10752" width="8.19921875" style="48"/>
    <col min="10753" max="10753" width="58.19921875" style="48" customWidth="1"/>
    <col min="10754" max="10754" width="16.5" style="48" customWidth="1"/>
    <col min="10755" max="10755" width="14.09765625" style="48" bestFit="1" customWidth="1"/>
    <col min="10756" max="10756" width="16.796875" style="48" customWidth="1"/>
    <col min="10757" max="10757" width="15.19921875" style="48" bestFit="1" customWidth="1"/>
    <col min="10758" max="10758" width="16.796875" style="48" bestFit="1" customWidth="1"/>
    <col min="10759" max="10759" width="12.69921875" style="48" bestFit="1" customWidth="1"/>
    <col min="10760" max="10760" width="8.3984375" style="48" bestFit="1" customWidth="1"/>
    <col min="10761" max="10761" width="12.59765625" style="48" customWidth="1"/>
    <col min="10762" max="10762" width="16.796875" style="48" bestFit="1" customWidth="1"/>
    <col min="10763" max="10763" width="13.796875" style="48" bestFit="1" customWidth="1"/>
    <col min="10764" max="10764" width="15.19921875" style="48" bestFit="1" customWidth="1"/>
    <col min="10765" max="10765" width="14.8984375" style="48" bestFit="1" customWidth="1"/>
    <col min="10766" max="10766" width="16.796875" style="48" bestFit="1" customWidth="1"/>
    <col min="10767" max="10767" width="10.19921875" style="48" bestFit="1" customWidth="1"/>
    <col min="10768" max="10768" width="10.19921875" style="48" customWidth="1"/>
    <col min="10769" max="10769" width="14.296875" style="48" bestFit="1" customWidth="1"/>
    <col min="10770" max="10771" width="13.09765625" style="48" bestFit="1" customWidth="1"/>
    <col min="10772" max="10772" width="12.296875" style="48" customWidth="1"/>
    <col min="10773" max="11008" width="8.19921875" style="48"/>
    <col min="11009" max="11009" width="58.19921875" style="48" customWidth="1"/>
    <col min="11010" max="11010" width="16.5" style="48" customWidth="1"/>
    <col min="11011" max="11011" width="14.09765625" style="48" bestFit="1" customWidth="1"/>
    <col min="11012" max="11012" width="16.796875" style="48" customWidth="1"/>
    <col min="11013" max="11013" width="15.19921875" style="48" bestFit="1" customWidth="1"/>
    <col min="11014" max="11014" width="16.796875" style="48" bestFit="1" customWidth="1"/>
    <col min="11015" max="11015" width="12.69921875" style="48" bestFit="1" customWidth="1"/>
    <col min="11016" max="11016" width="8.3984375" style="48" bestFit="1" customWidth="1"/>
    <col min="11017" max="11017" width="12.59765625" style="48" customWidth="1"/>
    <col min="11018" max="11018" width="16.796875" style="48" bestFit="1" customWidth="1"/>
    <col min="11019" max="11019" width="13.796875" style="48" bestFit="1" customWidth="1"/>
    <col min="11020" max="11020" width="15.19921875" style="48" bestFit="1" customWidth="1"/>
    <col min="11021" max="11021" width="14.8984375" style="48" bestFit="1" customWidth="1"/>
    <col min="11022" max="11022" width="16.796875" style="48" bestFit="1" customWidth="1"/>
    <col min="11023" max="11023" width="10.19921875" style="48" bestFit="1" customWidth="1"/>
    <col min="11024" max="11024" width="10.19921875" style="48" customWidth="1"/>
    <col min="11025" max="11025" width="14.296875" style="48" bestFit="1" customWidth="1"/>
    <col min="11026" max="11027" width="13.09765625" style="48" bestFit="1" customWidth="1"/>
    <col min="11028" max="11028" width="12.296875" style="48" customWidth="1"/>
    <col min="11029" max="11264" width="8.19921875" style="48"/>
    <col min="11265" max="11265" width="58.19921875" style="48" customWidth="1"/>
    <col min="11266" max="11266" width="16.5" style="48" customWidth="1"/>
    <col min="11267" max="11267" width="14.09765625" style="48" bestFit="1" customWidth="1"/>
    <col min="11268" max="11268" width="16.796875" style="48" customWidth="1"/>
    <col min="11269" max="11269" width="15.19921875" style="48" bestFit="1" customWidth="1"/>
    <col min="11270" max="11270" width="16.796875" style="48" bestFit="1" customWidth="1"/>
    <col min="11271" max="11271" width="12.69921875" style="48" bestFit="1" customWidth="1"/>
    <col min="11272" max="11272" width="8.3984375" style="48" bestFit="1" customWidth="1"/>
    <col min="11273" max="11273" width="12.59765625" style="48" customWidth="1"/>
    <col min="11274" max="11274" width="16.796875" style="48" bestFit="1" customWidth="1"/>
    <col min="11275" max="11275" width="13.796875" style="48" bestFit="1" customWidth="1"/>
    <col min="11276" max="11276" width="15.19921875" style="48" bestFit="1" customWidth="1"/>
    <col min="11277" max="11277" width="14.8984375" style="48" bestFit="1" customWidth="1"/>
    <col min="11278" max="11278" width="16.796875" style="48" bestFit="1" customWidth="1"/>
    <col min="11279" max="11279" width="10.19921875" style="48" bestFit="1" customWidth="1"/>
    <col min="11280" max="11280" width="10.19921875" style="48" customWidth="1"/>
    <col min="11281" max="11281" width="14.296875" style="48" bestFit="1" customWidth="1"/>
    <col min="11282" max="11283" width="13.09765625" style="48" bestFit="1" customWidth="1"/>
    <col min="11284" max="11284" width="12.296875" style="48" customWidth="1"/>
    <col min="11285" max="11520" width="8.19921875" style="48"/>
    <col min="11521" max="11521" width="58.19921875" style="48" customWidth="1"/>
    <col min="11522" max="11522" width="16.5" style="48" customWidth="1"/>
    <col min="11523" max="11523" width="14.09765625" style="48" bestFit="1" customWidth="1"/>
    <col min="11524" max="11524" width="16.796875" style="48" customWidth="1"/>
    <col min="11525" max="11525" width="15.19921875" style="48" bestFit="1" customWidth="1"/>
    <col min="11526" max="11526" width="16.796875" style="48" bestFit="1" customWidth="1"/>
    <col min="11527" max="11527" width="12.69921875" style="48" bestFit="1" customWidth="1"/>
    <col min="11528" max="11528" width="8.3984375" style="48" bestFit="1" customWidth="1"/>
    <col min="11529" max="11529" width="12.59765625" style="48" customWidth="1"/>
    <col min="11530" max="11530" width="16.796875" style="48" bestFit="1" customWidth="1"/>
    <col min="11531" max="11531" width="13.796875" style="48" bestFit="1" customWidth="1"/>
    <col min="11532" max="11532" width="15.19921875" style="48" bestFit="1" customWidth="1"/>
    <col min="11533" max="11533" width="14.8984375" style="48" bestFit="1" customWidth="1"/>
    <col min="11534" max="11534" width="16.796875" style="48" bestFit="1" customWidth="1"/>
    <col min="11535" max="11535" width="10.19921875" style="48" bestFit="1" customWidth="1"/>
    <col min="11536" max="11536" width="10.19921875" style="48" customWidth="1"/>
    <col min="11537" max="11537" width="14.296875" style="48" bestFit="1" customWidth="1"/>
    <col min="11538" max="11539" width="13.09765625" style="48" bestFit="1" customWidth="1"/>
    <col min="11540" max="11540" width="12.296875" style="48" customWidth="1"/>
    <col min="11541" max="11776" width="8.19921875" style="48"/>
    <col min="11777" max="11777" width="58.19921875" style="48" customWidth="1"/>
    <col min="11778" max="11778" width="16.5" style="48" customWidth="1"/>
    <col min="11779" max="11779" width="14.09765625" style="48" bestFit="1" customWidth="1"/>
    <col min="11780" max="11780" width="16.796875" style="48" customWidth="1"/>
    <col min="11781" max="11781" width="15.19921875" style="48" bestFit="1" customWidth="1"/>
    <col min="11782" max="11782" width="16.796875" style="48" bestFit="1" customWidth="1"/>
    <col min="11783" max="11783" width="12.69921875" style="48" bestFit="1" customWidth="1"/>
    <col min="11784" max="11784" width="8.3984375" style="48" bestFit="1" customWidth="1"/>
    <col min="11785" max="11785" width="12.59765625" style="48" customWidth="1"/>
    <col min="11786" max="11786" width="16.796875" style="48" bestFit="1" customWidth="1"/>
    <col min="11787" max="11787" width="13.796875" style="48" bestFit="1" customWidth="1"/>
    <col min="11788" max="11788" width="15.19921875" style="48" bestFit="1" customWidth="1"/>
    <col min="11789" max="11789" width="14.8984375" style="48" bestFit="1" customWidth="1"/>
    <col min="11790" max="11790" width="16.796875" style="48" bestFit="1" customWidth="1"/>
    <col min="11791" max="11791" width="10.19921875" style="48" bestFit="1" customWidth="1"/>
    <col min="11792" max="11792" width="10.19921875" style="48" customWidth="1"/>
    <col min="11793" max="11793" width="14.296875" style="48" bestFit="1" customWidth="1"/>
    <col min="11794" max="11795" width="13.09765625" style="48" bestFit="1" customWidth="1"/>
    <col min="11796" max="11796" width="12.296875" style="48" customWidth="1"/>
    <col min="11797" max="12032" width="8.19921875" style="48"/>
    <col min="12033" max="12033" width="58.19921875" style="48" customWidth="1"/>
    <col min="12034" max="12034" width="16.5" style="48" customWidth="1"/>
    <col min="12035" max="12035" width="14.09765625" style="48" bestFit="1" customWidth="1"/>
    <col min="12036" max="12036" width="16.796875" style="48" customWidth="1"/>
    <col min="12037" max="12037" width="15.19921875" style="48" bestFit="1" customWidth="1"/>
    <col min="12038" max="12038" width="16.796875" style="48" bestFit="1" customWidth="1"/>
    <col min="12039" max="12039" width="12.69921875" style="48" bestFit="1" customWidth="1"/>
    <col min="12040" max="12040" width="8.3984375" style="48" bestFit="1" customWidth="1"/>
    <col min="12041" max="12041" width="12.59765625" style="48" customWidth="1"/>
    <col min="12042" max="12042" width="16.796875" style="48" bestFit="1" customWidth="1"/>
    <col min="12043" max="12043" width="13.796875" style="48" bestFit="1" customWidth="1"/>
    <col min="12044" max="12044" width="15.19921875" style="48" bestFit="1" customWidth="1"/>
    <col min="12045" max="12045" width="14.8984375" style="48" bestFit="1" customWidth="1"/>
    <col min="12046" max="12046" width="16.796875" style="48" bestFit="1" customWidth="1"/>
    <col min="12047" max="12047" width="10.19921875" style="48" bestFit="1" customWidth="1"/>
    <col min="12048" max="12048" width="10.19921875" style="48" customWidth="1"/>
    <col min="12049" max="12049" width="14.296875" style="48" bestFit="1" customWidth="1"/>
    <col min="12050" max="12051" width="13.09765625" style="48" bestFit="1" customWidth="1"/>
    <col min="12052" max="12052" width="12.296875" style="48" customWidth="1"/>
    <col min="12053" max="12288" width="8.19921875" style="48"/>
    <col min="12289" max="12289" width="58.19921875" style="48" customWidth="1"/>
    <col min="12290" max="12290" width="16.5" style="48" customWidth="1"/>
    <col min="12291" max="12291" width="14.09765625" style="48" bestFit="1" customWidth="1"/>
    <col min="12292" max="12292" width="16.796875" style="48" customWidth="1"/>
    <col min="12293" max="12293" width="15.19921875" style="48" bestFit="1" customWidth="1"/>
    <col min="12294" max="12294" width="16.796875" style="48" bestFit="1" customWidth="1"/>
    <col min="12295" max="12295" width="12.69921875" style="48" bestFit="1" customWidth="1"/>
    <col min="12296" max="12296" width="8.3984375" style="48" bestFit="1" customWidth="1"/>
    <col min="12297" max="12297" width="12.59765625" style="48" customWidth="1"/>
    <col min="12298" max="12298" width="16.796875" style="48" bestFit="1" customWidth="1"/>
    <col min="12299" max="12299" width="13.796875" style="48" bestFit="1" customWidth="1"/>
    <col min="12300" max="12300" width="15.19921875" style="48" bestFit="1" customWidth="1"/>
    <col min="12301" max="12301" width="14.8984375" style="48" bestFit="1" customWidth="1"/>
    <col min="12302" max="12302" width="16.796875" style="48" bestFit="1" customWidth="1"/>
    <col min="12303" max="12303" width="10.19921875" style="48" bestFit="1" customWidth="1"/>
    <col min="12304" max="12304" width="10.19921875" style="48" customWidth="1"/>
    <col min="12305" max="12305" width="14.296875" style="48" bestFit="1" customWidth="1"/>
    <col min="12306" max="12307" width="13.09765625" style="48" bestFit="1" customWidth="1"/>
    <col min="12308" max="12308" width="12.296875" style="48" customWidth="1"/>
    <col min="12309" max="12544" width="8.19921875" style="48"/>
    <col min="12545" max="12545" width="58.19921875" style="48" customWidth="1"/>
    <col min="12546" max="12546" width="16.5" style="48" customWidth="1"/>
    <col min="12547" max="12547" width="14.09765625" style="48" bestFit="1" customWidth="1"/>
    <col min="12548" max="12548" width="16.796875" style="48" customWidth="1"/>
    <col min="12549" max="12549" width="15.19921875" style="48" bestFit="1" customWidth="1"/>
    <col min="12550" max="12550" width="16.796875" style="48" bestFit="1" customWidth="1"/>
    <col min="12551" max="12551" width="12.69921875" style="48" bestFit="1" customWidth="1"/>
    <col min="12552" max="12552" width="8.3984375" style="48" bestFit="1" customWidth="1"/>
    <col min="12553" max="12553" width="12.59765625" style="48" customWidth="1"/>
    <col min="12554" max="12554" width="16.796875" style="48" bestFit="1" customWidth="1"/>
    <col min="12555" max="12555" width="13.796875" style="48" bestFit="1" customWidth="1"/>
    <col min="12556" max="12556" width="15.19921875" style="48" bestFit="1" customWidth="1"/>
    <col min="12557" max="12557" width="14.8984375" style="48" bestFit="1" customWidth="1"/>
    <col min="12558" max="12558" width="16.796875" style="48" bestFit="1" customWidth="1"/>
    <col min="12559" max="12559" width="10.19921875" style="48" bestFit="1" customWidth="1"/>
    <col min="12560" max="12560" width="10.19921875" style="48" customWidth="1"/>
    <col min="12561" max="12561" width="14.296875" style="48" bestFit="1" customWidth="1"/>
    <col min="12562" max="12563" width="13.09765625" style="48" bestFit="1" customWidth="1"/>
    <col min="12564" max="12564" width="12.296875" style="48" customWidth="1"/>
    <col min="12565" max="12800" width="8.19921875" style="48"/>
    <col min="12801" max="12801" width="58.19921875" style="48" customWidth="1"/>
    <col min="12802" max="12802" width="16.5" style="48" customWidth="1"/>
    <col min="12803" max="12803" width="14.09765625" style="48" bestFit="1" customWidth="1"/>
    <col min="12804" max="12804" width="16.796875" style="48" customWidth="1"/>
    <col min="12805" max="12805" width="15.19921875" style="48" bestFit="1" customWidth="1"/>
    <col min="12806" max="12806" width="16.796875" style="48" bestFit="1" customWidth="1"/>
    <col min="12807" max="12807" width="12.69921875" style="48" bestFit="1" customWidth="1"/>
    <col min="12808" max="12808" width="8.3984375" style="48" bestFit="1" customWidth="1"/>
    <col min="12809" max="12809" width="12.59765625" style="48" customWidth="1"/>
    <col min="12810" max="12810" width="16.796875" style="48" bestFit="1" customWidth="1"/>
    <col min="12811" max="12811" width="13.796875" style="48" bestFit="1" customWidth="1"/>
    <col min="12812" max="12812" width="15.19921875" style="48" bestFit="1" customWidth="1"/>
    <col min="12813" max="12813" width="14.8984375" style="48" bestFit="1" customWidth="1"/>
    <col min="12814" max="12814" width="16.796875" style="48" bestFit="1" customWidth="1"/>
    <col min="12815" max="12815" width="10.19921875" style="48" bestFit="1" customWidth="1"/>
    <col min="12816" max="12816" width="10.19921875" style="48" customWidth="1"/>
    <col min="12817" max="12817" width="14.296875" style="48" bestFit="1" customWidth="1"/>
    <col min="12818" max="12819" width="13.09765625" style="48" bestFit="1" customWidth="1"/>
    <col min="12820" max="12820" width="12.296875" style="48" customWidth="1"/>
    <col min="12821" max="13056" width="8.19921875" style="48"/>
    <col min="13057" max="13057" width="58.19921875" style="48" customWidth="1"/>
    <col min="13058" max="13058" width="16.5" style="48" customWidth="1"/>
    <col min="13059" max="13059" width="14.09765625" style="48" bestFit="1" customWidth="1"/>
    <col min="13060" max="13060" width="16.796875" style="48" customWidth="1"/>
    <col min="13061" max="13061" width="15.19921875" style="48" bestFit="1" customWidth="1"/>
    <col min="13062" max="13062" width="16.796875" style="48" bestFit="1" customWidth="1"/>
    <col min="13063" max="13063" width="12.69921875" style="48" bestFit="1" customWidth="1"/>
    <col min="13064" max="13064" width="8.3984375" style="48" bestFit="1" customWidth="1"/>
    <col min="13065" max="13065" width="12.59765625" style="48" customWidth="1"/>
    <col min="13066" max="13066" width="16.796875" style="48" bestFit="1" customWidth="1"/>
    <col min="13067" max="13067" width="13.796875" style="48" bestFit="1" customWidth="1"/>
    <col min="13068" max="13068" width="15.19921875" style="48" bestFit="1" customWidth="1"/>
    <col min="13069" max="13069" width="14.8984375" style="48" bestFit="1" customWidth="1"/>
    <col min="13070" max="13070" width="16.796875" style="48" bestFit="1" customWidth="1"/>
    <col min="13071" max="13071" width="10.19921875" style="48" bestFit="1" customWidth="1"/>
    <col min="13072" max="13072" width="10.19921875" style="48" customWidth="1"/>
    <col min="13073" max="13073" width="14.296875" style="48" bestFit="1" customWidth="1"/>
    <col min="13074" max="13075" width="13.09765625" style="48" bestFit="1" customWidth="1"/>
    <col min="13076" max="13076" width="12.296875" style="48" customWidth="1"/>
    <col min="13077" max="13312" width="8.19921875" style="48"/>
    <col min="13313" max="13313" width="58.19921875" style="48" customWidth="1"/>
    <col min="13314" max="13314" width="16.5" style="48" customWidth="1"/>
    <col min="13315" max="13315" width="14.09765625" style="48" bestFit="1" customWidth="1"/>
    <col min="13316" max="13316" width="16.796875" style="48" customWidth="1"/>
    <col min="13317" max="13317" width="15.19921875" style="48" bestFit="1" customWidth="1"/>
    <col min="13318" max="13318" width="16.796875" style="48" bestFit="1" customWidth="1"/>
    <col min="13319" max="13319" width="12.69921875" style="48" bestFit="1" customWidth="1"/>
    <col min="13320" max="13320" width="8.3984375" style="48" bestFit="1" customWidth="1"/>
    <col min="13321" max="13321" width="12.59765625" style="48" customWidth="1"/>
    <col min="13322" max="13322" width="16.796875" style="48" bestFit="1" customWidth="1"/>
    <col min="13323" max="13323" width="13.796875" style="48" bestFit="1" customWidth="1"/>
    <col min="13324" max="13324" width="15.19921875" style="48" bestFit="1" customWidth="1"/>
    <col min="13325" max="13325" width="14.8984375" style="48" bestFit="1" customWidth="1"/>
    <col min="13326" max="13326" width="16.796875" style="48" bestFit="1" customWidth="1"/>
    <col min="13327" max="13327" width="10.19921875" style="48" bestFit="1" customWidth="1"/>
    <col min="13328" max="13328" width="10.19921875" style="48" customWidth="1"/>
    <col min="13329" max="13329" width="14.296875" style="48" bestFit="1" customWidth="1"/>
    <col min="13330" max="13331" width="13.09765625" style="48" bestFit="1" customWidth="1"/>
    <col min="13332" max="13332" width="12.296875" style="48" customWidth="1"/>
    <col min="13333" max="13568" width="8.19921875" style="48"/>
    <col min="13569" max="13569" width="58.19921875" style="48" customWidth="1"/>
    <col min="13570" max="13570" width="16.5" style="48" customWidth="1"/>
    <col min="13571" max="13571" width="14.09765625" style="48" bestFit="1" customWidth="1"/>
    <col min="13572" max="13572" width="16.796875" style="48" customWidth="1"/>
    <col min="13573" max="13573" width="15.19921875" style="48" bestFit="1" customWidth="1"/>
    <col min="13574" max="13574" width="16.796875" style="48" bestFit="1" customWidth="1"/>
    <col min="13575" max="13575" width="12.69921875" style="48" bestFit="1" customWidth="1"/>
    <col min="13576" max="13576" width="8.3984375" style="48" bestFit="1" customWidth="1"/>
    <col min="13577" max="13577" width="12.59765625" style="48" customWidth="1"/>
    <col min="13578" max="13578" width="16.796875" style="48" bestFit="1" customWidth="1"/>
    <col min="13579" max="13579" width="13.796875" style="48" bestFit="1" customWidth="1"/>
    <col min="13580" max="13580" width="15.19921875" style="48" bestFit="1" customWidth="1"/>
    <col min="13581" max="13581" width="14.8984375" style="48" bestFit="1" customWidth="1"/>
    <col min="13582" max="13582" width="16.796875" style="48" bestFit="1" customWidth="1"/>
    <col min="13583" max="13583" width="10.19921875" style="48" bestFit="1" customWidth="1"/>
    <col min="13584" max="13584" width="10.19921875" style="48" customWidth="1"/>
    <col min="13585" max="13585" width="14.296875" style="48" bestFit="1" customWidth="1"/>
    <col min="13586" max="13587" width="13.09765625" style="48" bestFit="1" customWidth="1"/>
    <col min="13588" max="13588" width="12.296875" style="48" customWidth="1"/>
    <col min="13589" max="13824" width="8.19921875" style="48"/>
    <col min="13825" max="13825" width="58.19921875" style="48" customWidth="1"/>
    <col min="13826" max="13826" width="16.5" style="48" customWidth="1"/>
    <col min="13827" max="13827" width="14.09765625" style="48" bestFit="1" customWidth="1"/>
    <col min="13828" max="13828" width="16.796875" style="48" customWidth="1"/>
    <col min="13829" max="13829" width="15.19921875" style="48" bestFit="1" customWidth="1"/>
    <col min="13830" max="13830" width="16.796875" style="48" bestFit="1" customWidth="1"/>
    <col min="13831" max="13831" width="12.69921875" style="48" bestFit="1" customWidth="1"/>
    <col min="13832" max="13832" width="8.3984375" style="48" bestFit="1" customWidth="1"/>
    <col min="13833" max="13833" width="12.59765625" style="48" customWidth="1"/>
    <col min="13834" max="13834" width="16.796875" style="48" bestFit="1" customWidth="1"/>
    <col min="13835" max="13835" width="13.796875" style="48" bestFit="1" customWidth="1"/>
    <col min="13836" max="13836" width="15.19921875" style="48" bestFit="1" customWidth="1"/>
    <col min="13837" max="13837" width="14.8984375" style="48" bestFit="1" customWidth="1"/>
    <col min="13838" max="13838" width="16.796875" style="48" bestFit="1" customWidth="1"/>
    <col min="13839" max="13839" width="10.19921875" style="48" bestFit="1" customWidth="1"/>
    <col min="13840" max="13840" width="10.19921875" style="48" customWidth="1"/>
    <col min="13841" max="13841" width="14.296875" style="48" bestFit="1" customWidth="1"/>
    <col min="13842" max="13843" width="13.09765625" style="48" bestFit="1" customWidth="1"/>
    <col min="13844" max="13844" width="12.296875" style="48" customWidth="1"/>
    <col min="13845" max="14080" width="8.19921875" style="48"/>
    <col min="14081" max="14081" width="58.19921875" style="48" customWidth="1"/>
    <col min="14082" max="14082" width="16.5" style="48" customWidth="1"/>
    <col min="14083" max="14083" width="14.09765625" style="48" bestFit="1" customWidth="1"/>
    <col min="14084" max="14084" width="16.796875" style="48" customWidth="1"/>
    <col min="14085" max="14085" width="15.19921875" style="48" bestFit="1" customWidth="1"/>
    <col min="14086" max="14086" width="16.796875" style="48" bestFit="1" customWidth="1"/>
    <col min="14087" max="14087" width="12.69921875" style="48" bestFit="1" customWidth="1"/>
    <col min="14088" max="14088" width="8.3984375" style="48" bestFit="1" customWidth="1"/>
    <col min="14089" max="14089" width="12.59765625" style="48" customWidth="1"/>
    <col min="14090" max="14090" width="16.796875" style="48" bestFit="1" customWidth="1"/>
    <col min="14091" max="14091" width="13.796875" style="48" bestFit="1" customWidth="1"/>
    <col min="14092" max="14092" width="15.19921875" style="48" bestFit="1" customWidth="1"/>
    <col min="14093" max="14093" width="14.8984375" style="48" bestFit="1" customWidth="1"/>
    <col min="14094" max="14094" width="16.796875" style="48" bestFit="1" customWidth="1"/>
    <col min="14095" max="14095" width="10.19921875" style="48" bestFit="1" customWidth="1"/>
    <col min="14096" max="14096" width="10.19921875" style="48" customWidth="1"/>
    <col min="14097" max="14097" width="14.296875" style="48" bestFit="1" customWidth="1"/>
    <col min="14098" max="14099" width="13.09765625" style="48" bestFit="1" customWidth="1"/>
    <col min="14100" max="14100" width="12.296875" style="48" customWidth="1"/>
    <col min="14101" max="14336" width="8.19921875" style="48"/>
    <col min="14337" max="14337" width="58.19921875" style="48" customWidth="1"/>
    <col min="14338" max="14338" width="16.5" style="48" customWidth="1"/>
    <col min="14339" max="14339" width="14.09765625" style="48" bestFit="1" customWidth="1"/>
    <col min="14340" max="14340" width="16.796875" style="48" customWidth="1"/>
    <col min="14341" max="14341" width="15.19921875" style="48" bestFit="1" customWidth="1"/>
    <col min="14342" max="14342" width="16.796875" style="48" bestFit="1" customWidth="1"/>
    <col min="14343" max="14343" width="12.69921875" style="48" bestFit="1" customWidth="1"/>
    <col min="14344" max="14344" width="8.3984375" style="48" bestFit="1" customWidth="1"/>
    <col min="14345" max="14345" width="12.59765625" style="48" customWidth="1"/>
    <col min="14346" max="14346" width="16.796875" style="48" bestFit="1" customWidth="1"/>
    <col min="14347" max="14347" width="13.796875" style="48" bestFit="1" customWidth="1"/>
    <col min="14348" max="14348" width="15.19921875" style="48" bestFit="1" customWidth="1"/>
    <col min="14349" max="14349" width="14.8984375" style="48" bestFit="1" customWidth="1"/>
    <col min="14350" max="14350" width="16.796875" style="48" bestFit="1" customWidth="1"/>
    <col min="14351" max="14351" width="10.19921875" style="48" bestFit="1" customWidth="1"/>
    <col min="14352" max="14352" width="10.19921875" style="48" customWidth="1"/>
    <col min="14353" max="14353" width="14.296875" style="48" bestFit="1" customWidth="1"/>
    <col min="14354" max="14355" width="13.09765625" style="48" bestFit="1" customWidth="1"/>
    <col min="14356" max="14356" width="12.296875" style="48" customWidth="1"/>
    <col min="14357" max="14592" width="8.19921875" style="48"/>
    <col min="14593" max="14593" width="58.19921875" style="48" customWidth="1"/>
    <col min="14594" max="14594" width="16.5" style="48" customWidth="1"/>
    <col min="14595" max="14595" width="14.09765625" style="48" bestFit="1" customWidth="1"/>
    <col min="14596" max="14596" width="16.796875" style="48" customWidth="1"/>
    <col min="14597" max="14597" width="15.19921875" style="48" bestFit="1" customWidth="1"/>
    <col min="14598" max="14598" width="16.796875" style="48" bestFit="1" customWidth="1"/>
    <col min="14599" max="14599" width="12.69921875" style="48" bestFit="1" customWidth="1"/>
    <col min="14600" max="14600" width="8.3984375" style="48" bestFit="1" customWidth="1"/>
    <col min="14601" max="14601" width="12.59765625" style="48" customWidth="1"/>
    <col min="14602" max="14602" width="16.796875" style="48" bestFit="1" customWidth="1"/>
    <col min="14603" max="14603" width="13.796875" style="48" bestFit="1" customWidth="1"/>
    <col min="14604" max="14604" width="15.19921875" style="48" bestFit="1" customWidth="1"/>
    <col min="14605" max="14605" width="14.8984375" style="48" bestFit="1" customWidth="1"/>
    <col min="14606" max="14606" width="16.796875" style="48" bestFit="1" customWidth="1"/>
    <col min="14607" max="14607" width="10.19921875" style="48" bestFit="1" customWidth="1"/>
    <col min="14608" max="14608" width="10.19921875" style="48" customWidth="1"/>
    <col min="14609" max="14609" width="14.296875" style="48" bestFit="1" customWidth="1"/>
    <col min="14610" max="14611" width="13.09765625" style="48" bestFit="1" customWidth="1"/>
    <col min="14612" max="14612" width="12.296875" style="48" customWidth="1"/>
    <col min="14613" max="14848" width="8.19921875" style="48"/>
    <col min="14849" max="14849" width="58.19921875" style="48" customWidth="1"/>
    <col min="14850" max="14850" width="16.5" style="48" customWidth="1"/>
    <col min="14851" max="14851" width="14.09765625" style="48" bestFit="1" customWidth="1"/>
    <col min="14852" max="14852" width="16.796875" style="48" customWidth="1"/>
    <col min="14853" max="14853" width="15.19921875" style="48" bestFit="1" customWidth="1"/>
    <col min="14854" max="14854" width="16.796875" style="48" bestFit="1" customWidth="1"/>
    <col min="14855" max="14855" width="12.69921875" style="48" bestFit="1" customWidth="1"/>
    <col min="14856" max="14856" width="8.3984375" style="48" bestFit="1" customWidth="1"/>
    <col min="14857" max="14857" width="12.59765625" style="48" customWidth="1"/>
    <col min="14858" max="14858" width="16.796875" style="48" bestFit="1" customWidth="1"/>
    <col min="14859" max="14859" width="13.796875" style="48" bestFit="1" customWidth="1"/>
    <col min="14860" max="14860" width="15.19921875" style="48" bestFit="1" customWidth="1"/>
    <col min="14861" max="14861" width="14.8984375" style="48" bestFit="1" customWidth="1"/>
    <col min="14862" max="14862" width="16.796875" style="48" bestFit="1" customWidth="1"/>
    <col min="14863" max="14863" width="10.19921875" style="48" bestFit="1" customWidth="1"/>
    <col min="14864" max="14864" width="10.19921875" style="48" customWidth="1"/>
    <col min="14865" max="14865" width="14.296875" style="48" bestFit="1" customWidth="1"/>
    <col min="14866" max="14867" width="13.09765625" style="48" bestFit="1" customWidth="1"/>
    <col min="14868" max="14868" width="12.296875" style="48" customWidth="1"/>
    <col min="14869" max="15104" width="8.19921875" style="48"/>
    <col min="15105" max="15105" width="58.19921875" style="48" customWidth="1"/>
    <col min="15106" max="15106" width="16.5" style="48" customWidth="1"/>
    <col min="15107" max="15107" width="14.09765625" style="48" bestFit="1" customWidth="1"/>
    <col min="15108" max="15108" width="16.796875" style="48" customWidth="1"/>
    <col min="15109" max="15109" width="15.19921875" style="48" bestFit="1" customWidth="1"/>
    <col min="15110" max="15110" width="16.796875" style="48" bestFit="1" customWidth="1"/>
    <col min="15111" max="15111" width="12.69921875" style="48" bestFit="1" customWidth="1"/>
    <col min="15112" max="15112" width="8.3984375" style="48" bestFit="1" customWidth="1"/>
    <col min="15113" max="15113" width="12.59765625" style="48" customWidth="1"/>
    <col min="15114" max="15114" width="16.796875" style="48" bestFit="1" customWidth="1"/>
    <col min="15115" max="15115" width="13.796875" style="48" bestFit="1" customWidth="1"/>
    <col min="15116" max="15116" width="15.19921875" style="48" bestFit="1" customWidth="1"/>
    <col min="15117" max="15117" width="14.8984375" style="48" bestFit="1" customWidth="1"/>
    <col min="15118" max="15118" width="16.796875" style="48" bestFit="1" customWidth="1"/>
    <col min="15119" max="15119" width="10.19921875" style="48" bestFit="1" customWidth="1"/>
    <col min="15120" max="15120" width="10.19921875" style="48" customWidth="1"/>
    <col min="15121" max="15121" width="14.296875" style="48" bestFit="1" customWidth="1"/>
    <col min="15122" max="15123" width="13.09765625" style="48" bestFit="1" customWidth="1"/>
    <col min="15124" max="15124" width="12.296875" style="48" customWidth="1"/>
    <col min="15125" max="15360" width="8.19921875" style="48"/>
    <col min="15361" max="15361" width="58.19921875" style="48" customWidth="1"/>
    <col min="15362" max="15362" width="16.5" style="48" customWidth="1"/>
    <col min="15363" max="15363" width="14.09765625" style="48" bestFit="1" customWidth="1"/>
    <col min="15364" max="15364" width="16.796875" style="48" customWidth="1"/>
    <col min="15365" max="15365" width="15.19921875" style="48" bestFit="1" customWidth="1"/>
    <col min="15366" max="15366" width="16.796875" style="48" bestFit="1" customWidth="1"/>
    <col min="15367" max="15367" width="12.69921875" style="48" bestFit="1" customWidth="1"/>
    <col min="15368" max="15368" width="8.3984375" style="48" bestFit="1" customWidth="1"/>
    <col min="15369" max="15369" width="12.59765625" style="48" customWidth="1"/>
    <col min="15370" max="15370" width="16.796875" style="48" bestFit="1" customWidth="1"/>
    <col min="15371" max="15371" width="13.796875" style="48" bestFit="1" customWidth="1"/>
    <col min="15372" max="15372" width="15.19921875" style="48" bestFit="1" customWidth="1"/>
    <col min="15373" max="15373" width="14.8984375" style="48" bestFit="1" customWidth="1"/>
    <col min="15374" max="15374" width="16.796875" style="48" bestFit="1" customWidth="1"/>
    <col min="15375" max="15375" width="10.19921875" style="48" bestFit="1" customWidth="1"/>
    <col min="15376" max="15376" width="10.19921875" style="48" customWidth="1"/>
    <col min="15377" max="15377" width="14.296875" style="48" bestFit="1" customWidth="1"/>
    <col min="15378" max="15379" width="13.09765625" style="48" bestFit="1" customWidth="1"/>
    <col min="15380" max="15380" width="12.296875" style="48" customWidth="1"/>
    <col min="15381" max="15616" width="8.19921875" style="48"/>
    <col min="15617" max="15617" width="58.19921875" style="48" customWidth="1"/>
    <col min="15618" max="15618" width="16.5" style="48" customWidth="1"/>
    <col min="15619" max="15619" width="14.09765625" style="48" bestFit="1" customWidth="1"/>
    <col min="15620" max="15620" width="16.796875" style="48" customWidth="1"/>
    <col min="15621" max="15621" width="15.19921875" style="48" bestFit="1" customWidth="1"/>
    <col min="15622" max="15622" width="16.796875" style="48" bestFit="1" customWidth="1"/>
    <col min="15623" max="15623" width="12.69921875" style="48" bestFit="1" customWidth="1"/>
    <col min="15624" max="15624" width="8.3984375" style="48" bestFit="1" customWidth="1"/>
    <col min="15625" max="15625" width="12.59765625" style="48" customWidth="1"/>
    <col min="15626" max="15626" width="16.796875" style="48" bestFit="1" customWidth="1"/>
    <col min="15627" max="15627" width="13.796875" style="48" bestFit="1" customWidth="1"/>
    <col min="15628" max="15628" width="15.19921875" style="48" bestFit="1" customWidth="1"/>
    <col min="15629" max="15629" width="14.8984375" style="48" bestFit="1" customWidth="1"/>
    <col min="15630" max="15630" width="16.796875" style="48" bestFit="1" customWidth="1"/>
    <col min="15631" max="15631" width="10.19921875" style="48" bestFit="1" customWidth="1"/>
    <col min="15632" max="15632" width="10.19921875" style="48" customWidth="1"/>
    <col min="15633" max="15633" width="14.296875" style="48" bestFit="1" customWidth="1"/>
    <col min="15634" max="15635" width="13.09765625" style="48" bestFit="1" customWidth="1"/>
    <col min="15636" max="15636" width="12.296875" style="48" customWidth="1"/>
    <col min="15637" max="15872" width="8.19921875" style="48"/>
    <col min="15873" max="15873" width="58.19921875" style="48" customWidth="1"/>
    <col min="15874" max="15874" width="16.5" style="48" customWidth="1"/>
    <col min="15875" max="15875" width="14.09765625" style="48" bestFit="1" customWidth="1"/>
    <col min="15876" max="15876" width="16.796875" style="48" customWidth="1"/>
    <col min="15877" max="15877" width="15.19921875" style="48" bestFit="1" customWidth="1"/>
    <col min="15878" max="15878" width="16.796875" style="48" bestFit="1" customWidth="1"/>
    <col min="15879" max="15879" width="12.69921875" style="48" bestFit="1" customWidth="1"/>
    <col min="15880" max="15880" width="8.3984375" style="48" bestFit="1" customWidth="1"/>
    <col min="15881" max="15881" width="12.59765625" style="48" customWidth="1"/>
    <col min="15882" max="15882" width="16.796875" style="48" bestFit="1" customWidth="1"/>
    <col min="15883" max="15883" width="13.796875" style="48" bestFit="1" customWidth="1"/>
    <col min="15884" max="15884" width="15.19921875" style="48" bestFit="1" customWidth="1"/>
    <col min="15885" max="15885" width="14.8984375" style="48" bestFit="1" customWidth="1"/>
    <col min="15886" max="15886" width="16.796875" style="48" bestFit="1" customWidth="1"/>
    <col min="15887" max="15887" width="10.19921875" style="48" bestFit="1" customWidth="1"/>
    <col min="15888" max="15888" width="10.19921875" style="48" customWidth="1"/>
    <col min="15889" max="15889" width="14.296875" style="48" bestFit="1" customWidth="1"/>
    <col min="15890" max="15891" width="13.09765625" style="48" bestFit="1" customWidth="1"/>
    <col min="15892" max="15892" width="12.296875" style="48" customWidth="1"/>
    <col min="15893" max="16128" width="8.19921875" style="48"/>
    <col min="16129" max="16129" width="58.19921875" style="48" customWidth="1"/>
    <col min="16130" max="16130" width="16.5" style="48" customWidth="1"/>
    <col min="16131" max="16131" width="14.09765625" style="48" bestFit="1" customWidth="1"/>
    <col min="16132" max="16132" width="16.796875" style="48" customWidth="1"/>
    <col min="16133" max="16133" width="15.19921875" style="48" bestFit="1" customWidth="1"/>
    <col min="16134" max="16134" width="16.796875" style="48" bestFit="1" customWidth="1"/>
    <col min="16135" max="16135" width="12.69921875" style="48" bestFit="1" customWidth="1"/>
    <col min="16136" max="16136" width="8.3984375" style="48" bestFit="1" customWidth="1"/>
    <col min="16137" max="16137" width="12.59765625" style="48" customWidth="1"/>
    <col min="16138" max="16138" width="16.796875" style="48" bestFit="1" customWidth="1"/>
    <col min="16139" max="16139" width="13.796875" style="48" bestFit="1" customWidth="1"/>
    <col min="16140" max="16140" width="15.19921875" style="48" bestFit="1" customWidth="1"/>
    <col min="16141" max="16141" width="14.8984375" style="48" bestFit="1" customWidth="1"/>
    <col min="16142" max="16142" width="16.796875" style="48" bestFit="1" customWidth="1"/>
    <col min="16143" max="16143" width="10.19921875" style="48" bestFit="1" customWidth="1"/>
    <col min="16144" max="16144" width="10.19921875" style="48" customWidth="1"/>
    <col min="16145" max="16145" width="14.296875" style="48" bestFit="1" customWidth="1"/>
    <col min="16146" max="16147" width="13.09765625" style="48" bestFit="1" customWidth="1"/>
    <col min="16148" max="16148" width="12.296875" style="48" customWidth="1"/>
    <col min="16149" max="16384" width="8.19921875" style="48"/>
  </cols>
  <sheetData>
    <row r="1" spans="1:20" s="56" customFormat="1" ht="23.4" x14ac:dyDescent="0.45">
      <c r="A1" s="556" t="s">
        <v>6</v>
      </c>
      <c r="B1" s="556"/>
      <c r="C1" s="556"/>
      <c r="D1" s="556"/>
      <c r="E1" s="556"/>
      <c r="F1" s="556"/>
      <c r="G1" s="556"/>
      <c r="H1" s="556"/>
      <c r="I1" s="556"/>
      <c r="J1" s="556"/>
      <c r="K1" s="556"/>
      <c r="L1" s="556"/>
      <c r="M1" s="556"/>
      <c r="N1" s="556"/>
      <c r="O1" s="556"/>
      <c r="P1" s="556"/>
      <c r="Q1" s="556"/>
      <c r="R1" s="556"/>
      <c r="S1" s="556"/>
      <c r="T1" s="556"/>
    </row>
    <row r="2" spans="1:20" s="56" customFormat="1" ht="22.5" customHeight="1" x14ac:dyDescent="0.45">
      <c r="A2" s="556" t="s">
        <v>0</v>
      </c>
      <c r="B2" s="556"/>
      <c r="C2" s="556"/>
      <c r="D2" s="556"/>
      <c r="E2" s="556"/>
      <c r="F2" s="556"/>
      <c r="G2" s="556"/>
      <c r="H2" s="556"/>
      <c r="I2" s="556"/>
      <c r="J2" s="556"/>
      <c r="K2" s="556"/>
      <c r="L2" s="556"/>
      <c r="M2" s="556"/>
      <c r="N2" s="556"/>
      <c r="O2" s="556"/>
      <c r="P2" s="556"/>
      <c r="Q2" s="556"/>
      <c r="R2" s="556"/>
      <c r="S2" s="556"/>
      <c r="T2" s="556"/>
    </row>
    <row r="3" spans="1:20" s="56" customFormat="1" ht="22.5" customHeight="1" x14ac:dyDescent="0.45">
      <c r="A3" s="556" t="s">
        <v>39</v>
      </c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6"/>
      <c r="O3" s="556"/>
      <c r="P3" s="556"/>
      <c r="Q3" s="556"/>
      <c r="R3" s="556"/>
      <c r="S3" s="556"/>
      <c r="T3" s="556"/>
    </row>
    <row r="4" spans="1:20" s="56" customFormat="1" ht="23.4" x14ac:dyDescent="0.45">
      <c r="A4" s="556" t="s">
        <v>177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P4" s="556"/>
      <c r="Q4" s="556"/>
      <c r="R4" s="556"/>
      <c r="S4" s="556"/>
      <c r="T4" s="556"/>
    </row>
    <row r="5" spans="1:20" s="56" customFormat="1" ht="21.75" customHeight="1" x14ac:dyDescent="0.45">
      <c r="A5" s="58"/>
      <c r="H5" s="239"/>
      <c r="O5" s="369"/>
      <c r="P5" s="239"/>
    </row>
    <row r="6" spans="1:20" s="56" customFormat="1" ht="23.4" x14ac:dyDescent="0.45">
      <c r="A6" s="58" t="s">
        <v>211</v>
      </c>
      <c r="H6" s="239"/>
      <c r="O6" s="369"/>
      <c r="P6" s="239"/>
    </row>
    <row r="7" spans="1:20" s="51" customFormat="1" x14ac:dyDescent="0.4">
      <c r="A7" s="371"/>
      <c r="H7" s="295"/>
      <c r="O7" s="372"/>
      <c r="P7" s="295"/>
    </row>
    <row r="8" spans="1:20" s="374" customFormat="1" ht="25.8" x14ac:dyDescent="0.5">
      <c r="A8" s="590" t="s">
        <v>141</v>
      </c>
      <c r="B8" s="591"/>
      <c r="C8" s="591"/>
      <c r="D8" s="591"/>
      <c r="E8" s="591"/>
      <c r="F8" s="591"/>
      <c r="G8" s="591"/>
      <c r="H8" s="591"/>
      <c r="I8" s="592"/>
      <c r="J8" s="591" t="s">
        <v>179</v>
      </c>
      <c r="K8" s="591"/>
      <c r="L8" s="591"/>
      <c r="M8" s="591"/>
      <c r="N8" s="591"/>
      <c r="O8" s="591"/>
      <c r="P8" s="591"/>
      <c r="Q8" s="592"/>
      <c r="R8" s="593" t="s">
        <v>142</v>
      </c>
      <c r="S8" s="594"/>
      <c r="T8" s="595"/>
    </row>
    <row r="9" spans="1:20" s="295" customFormat="1" x14ac:dyDescent="0.4">
      <c r="A9" s="325" t="s">
        <v>126</v>
      </c>
      <c r="B9" s="325" t="s">
        <v>90</v>
      </c>
      <c r="C9" s="325" t="s">
        <v>91</v>
      </c>
      <c r="D9" s="325" t="s">
        <v>4</v>
      </c>
      <c r="E9" s="325" t="s">
        <v>143</v>
      </c>
      <c r="F9" s="325" t="s">
        <v>144</v>
      </c>
      <c r="G9" s="325" t="s">
        <v>94</v>
      </c>
      <c r="H9" s="325" t="s">
        <v>145</v>
      </c>
      <c r="I9" s="325" t="s">
        <v>144</v>
      </c>
      <c r="J9" s="325" t="s">
        <v>90</v>
      </c>
      <c r="K9" s="325" t="s">
        <v>91</v>
      </c>
      <c r="L9" s="325" t="s">
        <v>4</v>
      </c>
      <c r="M9" s="325" t="s">
        <v>143</v>
      </c>
      <c r="N9" s="325" t="s">
        <v>144</v>
      </c>
      <c r="O9" s="323" t="s">
        <v>94</v>
      </c>
      <c r="P9" s="325" t="s">
        <v>145</v>
      </c>
      <c r="Q9" s="325" t="s">
        <v>144</v>
      </c>
      <c r="R9" s="375" t="s">
        <v>144</v>
      </c>
      <c r="S9" s="324" t="s">
        <v>145</v>
      </c>
      <c r="T9" s="324" t="s">
        <v>144</v>
      </c>
    </row>
    <row r="10" spans="1:20" s="295" customFormat="1" x14ac:dyDescent="0.4">
      <c r="A10" s="292"/>
      <c r="B10" s="292" t="s">
        <v>146</v>
      </c>
      <c r="C10" s="292" t="s">
        <v>146</v>
      </c>
      <c r="D10" s="292"/>
      <c r="E10" s="292" t="s">
        <v>147</v>
      </c>
      <c r="F10" s="292" t="s">
        <v>5</v>
      </c>
      <c r="G10" s="292"/>
      <c r="H10" s="292" t="s">
        <v>148</v>
      </c>
      <c r="I10" s="292" t="s">
        <v>149</v>
      </c>
      <c r="J10" s="292" t="s">
        <v>146</v>
      </c>
      <c r="K10" s="292" t="s">
        <v>146</v>
      </c>
      <c r="L10" s="292"/>
      <c r="M10" s="292" t="s">
        <v>147</v>
      </c>
      <c r="N10" s="292" t="s">
        <v>5</v>
      </c>
      <c r="O10" s="320"/>
      <c r="P10" s="292" t="s">
        <v>148</v>
      </c>
      <c r="Q10" s="292" t="s">
        <v>149</v>
      </c>
      <c r="R10" s="376" t="s">
        <v>5</v>
      </c>
      <c r="S10" s="42" t="s">
        <v>148</v>
      </c>
      <c r="T10" s="42" t="s">
        <v>149</v>
      </c>
    </row>
    <row r="11" spans="1:20" s="295" customFormat="1" x14ac:dyDescent="0.4">
      <c r="A11" s="292"/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320"/>
      <c r="P11" s="292"/>
      <c r="Q11" s="292"/>
      <c r="R11" s="376" t="s">
        <v>182</v>
      </c>
      <c r="S11" s="42" t="s">
        <v>182</v>
      </c>
      <c r="T11" s="42" t="s">
        <v>182</v>
      </c>
    </row>
    <row r="12" spans="1:20" s="295" customFormat="1" x14ac:dyDescent="0.4">
      <c r="A12" s="292"/>
      <c r="B12" s="292"/>
      <c r="C12" s="292"/>
      <c r="D12" s="292"/>
      <c r="E12" s="292"/>
      <c r="F12" s="292"/>
      <c r="G12" s="292"/>
      <c r="H12" s="292"/>
      <c r="I12" s="292"/>
      <c r="J12" s="292"/>
      <c r="K12" s="292"/>
      <c r="L12" s="292"/>
      <c r="M12" s="292"/>
      <c r="N12" s="377"/>
      <c r="O12" s="320"/>
      <c r="P12" s="292"/>
      <c r="Q12" s="292"/>
      <c r="R12" s="376" t="s">
        <v>183</v>
      </c>
      <c r="S12" s="42" t="s">
        <v>183</v>
      </c>
      <c r="T12" s="42" t="s">
        <v>183</v>
      </c>
    </row>
    <row r="13" spans="1:20" s="295" customFormat="1" x14ac:dyDescent="0.4">
      <c r="A13" s="292"/>
      <c r="B13" s="292"/>
      <c r="C13" s="292"/>
      <c r="D13" s="292"/>
      <c r="E13" s="292"/>
      <c r="F13" s="292"/>
      <c r="G13" s="292"/>
      <c r="H13" s="292"/>
      <c r="I13" s="292"/>
      <c r="J13" s="292"/>
      <c r="K13" s="292"/>
      <c r="L13" s="292"/>
      <c r="M13" s="292"/>
      <c r="N13" s="377"/>
      <c r="O13" s="320"/>
      <c r="P13" s="292"/>
      <c r="Q13" s="292"/>
      <c r="R13" s="376"/>
      <c r="S13" s="42"/>
      <c r="T13" s="378"/>
    </row>
    <row r="14" spans="1:20" s="295" customFormat="1" ht="21" customHeight="1" x14ac:dyDescent="0.4">
      <c r="A14" s="325" t="s">
        <v>151</v>
      </c>
      <c r="B14" s="325" t="s">
        <v>152</v>
      </c>
      <c r="C14" s="325" t="s">
        <v>153</v>
      </c>
      <c r="D14" s="325" t="s">
        <v>154</v>
      </c>
      <c r="E14" s="325" t="s">
        <v>155</v>
      </c>
      <c r="F14" s="325" t="s">
        <v>156</v>
      </c>
      <c r="G14" s="325" t="s">
        <v>157</v>
      </c>
      <c r="H14" s="325" t="s">
        <v>158</v>
      </c>
      <c r="I14" s="325" t="s">
        <v>159</v>
      </c>
      <c r="J14" s="325" t="s">
        <v>160</v>
      </c>
      <c r="K14" s="325" t="s">
        <v>161</v>
      </c>
      <c r="L14" s="325" t="s">
        <v>162</v>
      </c>
      <c r="M14" s="325" t="s">
        <v>163</v>
      </c>
      <c r="N14" s="325" t="s">
        <v>184</v>
      </c>
      <c r="O14" s="323" t="s">
        <v>165</v>
      </c>
      <c r="P14" s="325" t="s">
        <v>166</v>
      </c>
      <c r="Q14" s="325" t="s">
        <v>167</v>
      </c>
      <c r="R14" s="375" t="s">
        <v>168</v>
      </c>
      <c r="S14" s="324" t="s">
        <v>169</v>
      </c>
      <c r="T14" s="324" t="s">
        <v>170</v>
      </c>
    </row>
    <row r="15" spans="1:20" x14ac:dyDescent="0.4">
      <c r="A15" s="379"/>
      <c r="B15" s="379"/>
      <c r="C15" s="379"/>
      <c r="D15" s="379"/>
      <c r="E15" s="379"/>
      <c r="F15" s="379"/>
      <c r="G15" s="379"/>
      <c r="H15" s="379"/>
      <c r="I15" s="379"/>
      <c r="J15" s="379"/>
      <c r="K15" s="379"/>
      <c r="L15" s="379"/>
      <c r="M15" s="379"/>
      <c r="N15" s="379"/>
      <c r="O15" s="380"/>
      <c r="P15" s="344"/>
      <c r="Q15" s="379"/>
      <c r="R15" s="381" t="s">
        <v>171</v>
      </c>
      <c r="S15" s="382" t="s">
        <v>172</v>
      </c>
      <c r="T15" s="382" t="s">
        <v>173</v>
      </c>
    </row>
    <row r="16" spans="1:20" x14ac:dyDescent="0.4">
      <c r="A16" s="106" t="s">
        <v>301</v>
      </c>
      <c r="B16" s="383">
        <f>'ตารางที่ 8 ส่ง'!B16</f>
        <v>18951033.510000002</v>
      </c>
      <c r="C16" s="383">
        <f>'ตารางที่ 8 ส่ง'!C16</f>
        <v>138244.93</v>
      </c>
      <c r="D16" s="383">
        <f>'ตารางที่ 8 ส่ง'!D16</f>
        <v>1259755.31</v>
      </c>
      <c r="E16" s="383">
        <f>'ตารางที่ 8 ส่ง'!E16</f>
        <v>2719599.91</v>
      </c>
      <c r="F16" s="383">
        <f t="shared" ref="F16" si="0">SUM(B16:E16)</f>
        <v>23068633.66</v>
      </c>
      <c r="G16" s="334">
        <v>867</v>
      </c>
      <c r="H16" s="298" t="s">
        <v>100</v>
      </c>
      <c r="I16" s="383">
        <f>+F16/G16</f>
        <v>26607.420599769321</v>
      </c>
      <c r="J16" s="49">
        <f>'ตารางที่ 8 ส่ง'!J16</f>
        <v>12488164.061156001</v>
      </c>
      <c r="K16" s="49">
        <f>'ตารางที่ 8 ส่ง'!K16</f>
        <v>25789.666280000001</v>
      </c>
      <c r="L16" s="49">
        <f>'ตารางที่ 8 ส่ง'!L16</f>
        <v>477245.277558</v>
      </c>
      <c r="M16" s="49">
        <f>'ตารางที่ 8 ส่ง'!M16</f>
        <v>1456029.0150909999</v>
      </c>
      <c r="N16" s="383">
        <f>SUM(J16:M16)</f>
        <v>14447228.020085001</v>
      </c>
      <c r="O16" s="384">
        <v>600</v>
      </c>
      <c r="P16" s="298" t="s">
        <v>100</v>
      </c>
      <c r="Q16" s="49">
        <f>+N16/O16</f>
        <v>24078.713366808337</v>
      </c>
      <c r="R16" s="528">
        <f t="shared" ref="R16:S16" si="1">SUM(N16-F16)*100/F16</f>
        <v>-37.372849068491377</v>
      </c>
      <c r="S16" s="528">
        <f t="shared" si="1"/>
        <v>-30.79584775086505</v>
      </c>
      <c r="T16" s="528">
        <f t="shared" ref="T16:T35" si="2">SUM(Q16-I16)*100/I16</f>
        <v>-9.5037669039700408</v>
      </c>
    </row>
    <row r="17" spans="1:25" x14ac:dyDescent="0.4">
      <c r="A17" s="72" t="s">
        <v>197</v>
      </c>
      <c r="B17" s="383">
        <f>'ตารางที่ 8 ส่ง'!B17</f>
        <v>0</v>
      </c>
      <c r="C17" s="49"/>
      <c r="D17" s="49"/>
      <c r="E17" s="49"/>
      <c r="F17" s="383"/>
      <c r="G17" s="334"/>
      <c r="H17" s="330"/>
      <c r="I17" s="383"/>
      <c r="J17" s="49">
        <f>'ตารางที่ 8 ส่ง'!J17</f>
        <v>4077767.8567040004</v>
      </c>
      <c r="K17" s="49">
        <f>'ตารางที่ 8 ส่ง'!K17</f>
        <v>8421.1155199999994</v>
      </c>
      <c r="L17" s="49">
        <f>'ตารางที่ 8 ส่ง'!L17</f>
        <v>155835.192672</v>
      </c>
      <c r="M17" s="49">
        <f>'ตารางที่ 8 ส่ง'!M17</f>
        <v>475438.045744</v>
      </c>
      <c r="N17" s="49">
        <f t="shared" ref="N17:N25" si="3">SUM(J17:M17)</f>
        <v>4717462.2106400002</v>
      </c>
      <c r="O17" s="384">
        <v>200</v>
      </c>
      <c r="P17" s="330" t="s">
        <v>100</v>
      </c>
      <c r="Q17" s="49">
        <f t="shared" ref="Q17:Q43" si="4">+N17/O17</f>
        <v>23587.311053199999</v>
      </c>
      <c r="R17" s="386">
        <v>0</v>
      </c>
      <c r="S17" s="386">
        <v>0</v>
      </c>
      <c r="T17" s="386">
        <v>0</v>
      </c>
      <c r="U17" s="80"/>
      <c r="V17" s="80"/>
      <c r="W17" s="47"/>
      <c r="X17" s="47"/>
      <c r="Y17" s="47"/>
    </row>
    <row r="18" spans="1:25" x14ac:dyDescent="0.4">
      <c r="A18" s="106" t="s">
        <v>198</v>
      </c>
      <c r="B18" s="383">
        <f>'ตารางที่ 8 ส่ง'!B18</f>
        <v>425640212.69</v>
      </c>
      <c r="C18" s="383">
        <f>'ตารางที่ 8 ส่ง'!C18</f>
        <v>3104981.16</v>
      </c>
      <c r="D18" s="383">
        <f>'ตารางที่ 8 ส่ง'!D18</f>
        <v>28294104.329999998</v>
      </c>
      <c r="E18" s="383">
        <f>'ตารางที่ 8 ส่ง'!E18</f>
        <v>61082213.939999998</v>
      </c>
      <c r="F18" s="383">
        <f>'ตารางที่ 8 ส่ง'!F18</f>
        <v>518121512.12</v>
      </c>
      <c r="G18" s="383">
        <f>'ตารางที่ 8 ส่ง'!G18</f>
        <v>100038</v>
      </c>
      <c r="H18" s="390" t="s">
        <v>100</v>
      </c>
      <c r="I18" s="383">
        <f>+F18/G18</f>
        <v>5179.2470073372115</v>
      </c>
      <c r="J18" s="387">
        <f>'ตารางที่ 8 ส่ง'!J18</f>
        <v>393759458.66297996</v>
      </c>
      <c r="K18" s="387">
        <f>'ตารางที่ 8 ส่ง'!K18</f>
        <v>813163.96739999996</v>
      </c>
      <c r="L18" s="387">
        <f>'ตารางที่ 8 ส่ง'!L18</f>
        <v>15047835.792389998</v>
      </c>
      <c r="M18" s="387">
        <f>'ตารางที่ 8 ส่ง'!M18</f>
        <v>45909486.29215499</v>
      </c>
      <c r="N18" s="49">
        <f t="shared" si="3"/>
        <v>455529944.71492493</v>
      </c>
      <c r="O18" s="401">
        <v>103461</v>
      </c>
      <c r="P18" s="390" t="s">
        <v>100</v>
      </c>
      <c r="Q18" s="49">
        <f t="shared" si="4"/>
        <v>4402.9145737517028</v>
      </c>
      <c r="R18" s="528">
        <f t="shared" ref="R18" si="5">SUM(N18-F18)*100/F18</f>
        <v>-12.080480339248778</v>
      </c>
      <c r="S18" s="528">
        <f t="shared" ref="S18" si="6">SUM(O18-G18)*100/G18</f>
        <v>3.4216997540934444</v>
      </c>
      <c r="T18" s="528">
        <f t="shared" ref="T18" si="7">SUM(Q18-I18)*100/I18</f>
        <v>-14.989291541525487</v>
      </c>
      <c r="U18" s="80"/>
      <c r="V18" s="80"/>
      <c r="W18" s="47"/>
      <c r="X18" s="47"/>
      <c r="Y18" s="47"/>
    </row>
    <row r="19" spans="1:25" x14ac:dyDescent="0.4">
      <c r="A19" s="106" t="s">
        <v>199</v>
      </c>
      <c r="B19" s="49"/>
      <c r="C19" s="49"/>
      <c r="D19" s="49"/>
      <c r="E19" s="49"/>
      <c r="F19" s="383"/>
      <c r="G19" s="334"/>
      <c r="H19" s="330"/>
      <c r="I19" s="383"/>
      <c r="J19" s="49">
        <f>'ตารางที่ 8 ส่ง'!J19</f>
        <v>48933214.280447997</v>
      </c>
      <c r="K19" s="49">
        <f>'ตารางที่ 8 ส่ง'!K19</f>
        <v>101053.38623999999</v>
      </c>
      <c r="L19" s="49">
        <f>'ตารางที่ 8 ส่ง'!L19</f>
        <v>1870022.3120640002</v>
      </c>
      <c r="M19" s="49">
        <f>'ตารางที่ 8 ส่ง'!M19</f>
        <v>5705256.548928</v>
      </c>
      <c r="N19" s="49">
        <f t="shared" si="3"/>
        <v>56609546.527679995</v>
      </c>
      <c r="O19" s="384">
        <v>14136</v>
      </c>
      <c r="P19" s="330" t="s">
        <v>100</v>
      </c>
      <c r="Q19" s="49">
        <f t="shared" si="4"/>
        <v>4004.6368511375208</v>
      </c>
      <c r="R19" s="386">
        <v>0</v>
      </c>
      <c r="S19" s="386">
        <v>0</v>
      </c>
      <c r="T19" s="386">
        <v>0</v>
      </c>
      <c r="U19" s="80"/>
      <c r="V19" s="80"/>
      <c r="W19" s="47"/>
      <c r="X19" s="47"/>
      <c r="Y19" s="47"/>
    </row>
    <row r="20" spans="1:25" s="51" customFormat="1" x14ac:dyDescent="0.4">
      <c r="A20" s="106" t="s">
        <v>200</v>
      </c>
      <c r="B20" s="49"/>
      <c r="C20" s="49"/>
      <c r="D20" s="49"/>
      <c r="E20" s="49"/>
      <c r="F20" s="383"/>
      <c r="G20" s="334"/>
      <c r="H20" s="330"/>
      <c r="I20" s="383"/>
      <c r="J20" s="49">
        <f>'ตารางที่ 8 ส่ง'!J20</f>
        <v>159032946.41145602</v>
      </c>
      <c r="K20" s="49">
        <f>'ตารางที่ 8 ส่ง'!K20</f>
        <v>328423.50527999998</v>
      </c>
      <c r="L20" s="49">
        <f>'ตารางที่ 8 ส่ง'!L20</f>
        <v>6077572.5142080011</v>
      </c>
      <c r="M20" s="49">
        <f>'ตารางที่ 8 ส่ง'!M20</f>
        <v>18542083.784015998</v>
      </c>
      <c r="N20" s="49">
        <f t="shared" si="3"/>
        <v>183981026.21495998</v>
      </c>
      <c r="O20" s="334">
        <v>10939</v>
      </c>
      <c r="P20" s="330" t="s">
        <v>100</v>
      </c>
      <c r="Q20" s="49">
        <f t="shared" si="4"/>
        <v>16818.815816341528</v>
      </c>
      <c r="R20" s="386">
        <v>0</v>
      </c>
      <c r="S20" s="386">
        <v>0</v>
      </c>
      <c r="T20" s="386">
        <v>0</v>
      </c>
      <c r="U20" s="80"/>
      <c r="V20" s="80"/>
      <c r="W20" s="36"/>
      <c r="X20" s="36"/>
      <c r="Y20" s="36"/>
    </row>
    <row r="21" spans="1:25" x14ac:dyDescent="0.4">
      <c r="A21" s="147" t="s">
        <v>201</v>
      </c>
      <c r="B21" s="49"/>
      <c r="C21" s="49"/>
      <c r="D21" s="49"/>
      <c r="E21" s="49"/>
      <c r="F21" s="383"/>
      <c r="G21" s="567"/>
      <c r="H21" s="572"/>
      <c r="I21" s="338"/>
      <c r="J21" s="573">
        <f>'ตารางที่ 8 ส่ง'!J21:J22</f>
        <v>764581.47313199996</v>
      </c>
      <c r="K21" s="573">
        <f>'ตารางที่ 8 ส่ง'!K21:K22</f>
        <v>1578.9591599999999</v>
      </c>
      <c r="L21" s="573">
        <f>'ตารางที่ 8 ส่ง'!L21:L22</f>
        <v>29219.098626000003</v>
      </c>
      <c r="M21" s="573">
        <f>'ตารางที่ 8 ส่ง'!M21:M22</f>
        <v>89144.633577000001</v>
      </c>
      <c r="N21" s="573">
        <f t="shared" si="3"/>
        <v>884524.16449499992</v>
      </c>
      <c r="O21" s="567">
        <v>60</v>
      </c>
      <c r="P21" s="572" t="s">
        <v>101</v>
      </c>
      <c r="Q21" s="573">
        <f t="shared" si="4"/>
        <v>14742.069408249999</v>
      </c>
      <c r="R21" s="598">
        <v>0</v>
      </c>
      <c r="S21" s="598">
        <v>0</v>
      </c>
      <c r="T21" s="598">
        <v>0</v>
      </c>
      <c r="U21" s="80"/>
      <c r="V21" s="80"/>
      <c r="W21" s="47"/>
      <c r="X21" s="47"/>
      <c r="Y21" s="47"/>
    </row>
    <row r="22" spans="1:25" x14ac:dyDescent="0.4">
      <c r="A22" s="146" t="s">
        <v>113</v>
      </c>
      <c r="B22" s="49"/>
      <c r="C22" s="49"/>
      <c r="D22" s="49"/>
      <c r="E22" s="49"/>
      <c r="F22" s="383"/>
      <c r="G22" s="570"/>
      <c r="H22" s="570"/>
      <c r="I22" s="411"/>
      <c r="J22" s="596"/>
      <c r="K22" s="596"/>
      <c r="L22" s="596"/>
      <c r="M22" s="596"/>
      <c r="N22" s="596"/>
      <c r="O22" s="570"/>
      <c r="P22" s="570"/>
      <c r="Q22" s="574"/>
      <c r="R22" s="600"/>
      <c r="S22" s="600"/>
      <c r="T22" s="600"/>
      <c r="U22" s="80"/>
      <c r="V22" s="80"/>
      <c r="W22" s="47"/>
      <c r="X22" s="47"/>
      <c r="Y22" s="47"/>
    </row>
    <row r="23" spans="1:25" s="51" customFormat="1" x14ac:dyDescent="0.4">
      <c r="A23" s="145" t="s">
        <v>119</v>
      </c>
      <c r="B23" s="49"/>
      <c r="C23" s="49"/>
      <c r="D23" s="49"/>
      <c r="E23" s="49"/>
      <c r="F23" s="383"/>
      <c r="G23" s="347"/>
      <c r="H23" s="348"/>
      <c r="I23" s="383"/>
      <c r="J23" s="349">
        <f>'ตารางที่ 8 ส่ง'!J23</f>
        <v>6371512.2761000004</v>
      </c>
      <c r="K23" s="349">
        <f>'ตารางที่ 8 ส่ง'!K23</f>
        <v>13157.993</v>
      </c>
      <c r="L23" s="349">
        <f>'ตารางที่ 8 ส่ง'!L23</f>
        <v>243492.48855000001</v>
      </c>
      <c r="M23" s="349">
        <f>'ตารางที่ 8 ส่ง'!M23</f>
        <v>742871.94647499989</v>
      </c>
      <c r="N23" s="349">
        <f t="shared" si="3"/>
        <v>7371034.7041250002</v>
      </c>
      <c r="O23" s="347">
        <v>10</v>
      </c>
      <c r="P23" s="348" t="s">
        <v>102</v>
      </c>
      <c r="Q23" s="349">
        <f t="shared" si="4"/>
        <v>737103.47041249997</v>
      </c>
      <c r="R23" s="393">
        <v>0</v>
      </c>
      <c r="S23" s="393">
        <v>0</v>
      </c>
      <c r="T23" s="393">
        <v>0</v>
      </c>
      <c r="U23" s="80"/>
      <c r="V23" s="80"/>
      <c r="W23" s="36"/>
      <c r="X23" s="36"/>
      <c r="Y23" s="36"/>
    </row>
    <row r="24" spans="1:25" s="51" customFormat="1" x14ac:dyDescent="0.4">
      <c r="A24" s="72" t="s">
        <v>202</v>
      </c>
      <c r="B24" s="49">
        <f>'ตารางที่ 8 ส่ง'!B24</f>
        <v>74098541.030000001</v>
      </c>
      <c r="C24" s="49">
        <f>'ตารางที่ 8 ส่ง'!C24</f>
        <v>540537.68000000005</v>
      </c>
      <c r="D24" s="49">
        <f>'ตารางที่ 8 ส่ง'!D24</f>
        <v>4925643.2699999996</v>
      </c>
      <c r="E24" s="49">
        <f>'ตารางที่ 8 ส่ง'!E24</f>
        <v>10633635.640000001</v>
      </c>
      <c r="F24" s="383">
        <f>SUM(B24:E24)</f>
        <v>90198357.620000005</v>
      </c>
      <c r="G24" s="334">
        <v>13750</v>
      </c>
      <c r="H24" s="330" t="s">
        <v>99</v>
      </c>
      <c r="I24" s="383">
        <f t="shared" ref="I24:I42" si="8">+F24/G24</f>
        <v>6559.8805541818183</v>
      </c>
      <c r="J24" s="49">
        <f>'ตารางที่ 8 ส่ง'!J24</f>
        <v>62695680.796824001</v>
      </c>
      <c r="K24" s="49">
        <f>'ตารางที่ 8 ส่ง'!K24</f>
        <v>129474.65111999999</v>
      </c>
      <c r="L24" s="49">
        <f>'ตารางที่ 8 ส่ง'!L24</f>
        <v>2395966.087332</v>
      </c>
      <c r="M24" s="49">
        <f>'ตารางที่ 8 ส่ง'!M24</f>
        <v>7309859.9533139989</v>
      </c>
      <c r="N24" s="49">
        <f t="shared" si="3"/>
        <v>72530981.488590002</v>
      </c>
      <c r="O24" s="334">
        <v>12479</v>
      </c>
      <c r="P24" s="330" t="s">
        <v>100</v>
      </c>
      <c r="Q24" s="49">
        <f t="shared" si="4"/>
        <v>5812.2430874741567</v>
      </c>
      <c r="R24" s="528">
        <f t="shared" ref="R24:S25" si="9">SUM(N24-F24)*100/F24</f>
        <v>-19.587248146847134</v>
      </c>
      <c r="S24" s="528">
        <f t="shared" si="9"/>
        <v>-9.2436363636363641</v>
      </c>
      <c r="T24" s="528">
        <f t="shared" si="2"/>
        <v>-11.397120123339056</v>
      </c>
      <c r="U24" s="80"/>
      <c r="V24" s="80"/>
      <c r="W24" s="36"/>
      <c r="X24" s="36"/>
      <c r="Y24" s="36"/>
    </row>
    <row r="25" spans="1:25" s="51" customFormat="1" x14ac:dyDescent="0.4">
      <c r="A25" s="106" t="s">
        <v>203</v>
      </c>
      <c r="B25" s="49">
        <f>'ตารางที่ 8 ส่ง'!B25</f>
        <v>61780369.25</v>
      </c>
      <c r="C25" s="49">
        <f>'ตารางที่ 8 ส่ง'!C25</f>
        <v>450678.48</v>
      </c>
      <c r="D25" s="49">
        <f>'ตารางที่ 8 ส่ง'!D25</f>
        <v>4106802.32</v>
      </c>
      <c r="E25" s="49">
        <f>'ตารางที่ 8 ส่ง'!E25</f>
        <v>8865895.6999999993</v>
      </c>
      <c r="F25" s="383">
        <f>SUM(B25:E25)</f>
        <v>75203745.75</v>
      </c>
      <c r="G25" s="334">
        <v>19559</v>
      </c>
      <c r="H25" s="330" t="s">
        <v>100</v>
      </c>
      <c r="I25" s="383">
        <f t="shared" si="8"/>
        <v>3844.9688506569864</v>
      </c>
      <c r="J25" s="49">
        <f>'ตารางที่ 8 ส่ง'!J25</f>
        <v>46384609.370007999</v>
      </c>
      <c r="K25" s="49">
        <f>'ตารางที่ 8 ส่ง'!K25</f>
        <v>95790.189040000012</v>
      </c>
      <c r="L25" s="49">
        <f>'ตารางที่ 8 ส่ง'!L25</f>
        <v>1772625.3166440001</v>
      </c>
      <c r="M25" s="49">
        <f>'ตารางที่ 8 ส่ง'!M25</f>
        <v>5408107.7703379998</v>
      </c>
      <c r="N25" s="49">
        <f t="shared" si="3"/>
        <v>53661132.646029994</v>
      </c>
      <c r="O25" s="334">
        <v>11869</v>
      </c>
      <c r="P25" s="330" t="s">
        <v>100</v>
      </c>
      <c r="Q25" s="49">
        <f t="shared" si="4"/>
        <v>4521.1165764622119</v>
      </c>
      <c r="R25" s="528">
        <f t="shared" si="9"/>
        <v>-28.645665038526367</v>
      </c>
      <c r="S25" s="528">
        <f t="shared" si="9"/>
        <v>-39.31693849378803</v>
      </c>
      <c r="T25" s="528">
        <f t="shared" si="2"/>
        <v>17.585258868604168</v>
      </c>
      <c r="U25" s="80"/>
      <c r="V25" s="80"/>
      <c r="W25" s="36"/>
      <c r="X25" s="36"/>
      <c r="Y25" s="36"/>
    </row>
    <row r="26" spans="1:25" x14ac:dyDescent="0.4">
      <c r="A26" s="72" t="s">
        <v>114</v>
      </c>
      <c r="B26" s="49">
        <f>'ตารางที่ 8 ส่ง'!B26</f>
        <v>0</v>
      </c>
      <c r="C26" s="49"/>
      <c r="D26" s="49"/>
      <c r="E26" s="49"/>
      <c r="F26" s="49"/>
      <c r="G26" s="49"/>
      <c r="H26" s="49"/>
      <c r="I26" s="49"/>
      <c r="J26" s="49">
        <f>'ตารางที่ 8 ส่ง'!J26</f>
        <v>1274302.4552200001</v>
      </c>
      <c r="K26" s="49">
        <f>'ตารางที่ 8 ส่ง'!K26</f>
        <v>2631.5986000000003</v>
      </c>
      <c r="L26" s="49">
        <f>'ตารางที่ 8 ส่ง'!L26</f>
        <v>48698.497710000003</v>
      </c>
      <c r="M26" s="49">
        <f>'ตารางที่ 8 ส่ง'!M26</f>
        <v>148574.389295</v>
      </c>
      <c r="N26" s="49">
        <f t="shared" ref="N26:N44" si="10">SUM(J26:M26)</f>
        <v>1474206.9408249999</v>
      </c>
      <c r="O26" s="334">
        <v>3</v>
      </c>
      <c r="P26" s="330" t="s">
        <v>104</v>
      </c>
      <c r="Q26" s="49">
        <f t="shared" si="4"/>
        <v>491402.31360833329</v>
      </c>
      <c r="R26" s="528"/>
      <c r="S26" s="528"/>
      <c r="T26" s="528"/>
      <c r="U26" s="80"/>
      <c r="V26" s="80"/>
      <c r="W26" s="47"/>
      <c r="X26" s="47"/>
      <c r="Y26" s="47"/>
    </row>
    <row r="27" spans="1:25" ht="36.6" x14ac:dyDescent="0.4">
      <c r="A27" s="106" t="s">
        <v>115</v>
      </c>
      <c r="B27" s="349">
        <f>'ตารางที่ 8 ส่ง'!B27</f>
        <v>13834254.460000001</v>
      </c>
      <c r="C27" s="349">
        <f>'ตารางที่ 8 ส่ง'!C27</f>
        <v>100918.8</v>
      </c>
      <c r="D27" s="349">
        <f>'ตารางที่ 8 ส่ง'!D27</f>
        <v>919621.38</v>
      </c>
      <c r="E27" s="349">
        <f>'ตารางที่ 8 ส่ง'!E27</f>
        <v>1985307.93</v>
      </c>
      <c r="F27" s="349">
        <f>'ตารางที่ 8 ส่ง'!F27</f>
        <v>16840102.570000004</v>
      </c>
      <c r="G27" s="349">
        <f>'ตารางที่ 8 ส่ง'!G27</f>
        <v>1235</v>
      </c>
      <c r="H27" s="348" t="s">
        <v>100</v>
      </c>
      <c r="I27" s="391">
        <f>+F27/G27</f>
        <v>13635.710582995955</v>
      </c>
      <c r="J27" s="349">
        <f>'ตารางที่ 8 ส่ง'!J27</f>
        <v>8920117.1865400001</v>
      </c>
      <c r="K27" s="349">
        <f>'ตารางที่ 8 ส่ง'!K27</f>
        <v>18421.190200000001</v>
      </c>
      <c r="L27" s="349">
        <f>'ตารางที่ 8 ส่ง'!L27</f>
        <v>340889.48397</v>
      </c>
      <c r="M27" s="349">
        <f>'ตารางที่ 8 ส่ง'!M27</f>
        <v>1040020.7250649999</v>
      </c>
      <c r="N27" s="349">
        <f t="shared" si="10"/>
        <v>10319448.585774999</v>
      </c>
      <c r="O27" s="347">
        <v>25924</v>
      </c>
      <c r="P27" s="348" t="s">
        <v>100</v>
      </c>
      <c r="Q27" s="349">
        <f t="shared" si="4"/>
        <v>398.06544459863443</v>
      </c>
      <c r="R27" s="529">
        <f t="shared" ref="R27" si="11">SUM(N27-F27)*100/F27</f>
        <v>-38.720987340310501</v>
      </c>
      <c r="S27" s="529">
        <f t="shared" ref="S27" si="12">SUM(O27-G27)*100/G27</f>
        <v>1999.1093117408907</v>
      </c>
      <c r="T27" s="529">
        <f t="shared" ref="T27" si="13">SUM(Q27-I27)*100/I27</f>
        <v>-97.080713599956923</v>
      </c>
      <c r="U27" s="80"/>
      <c r="V27" s="80"/>
      <c r="W27" s="47"/>
      <c r="X27" s="47"/>
      <c r="Y27" s="47"/>
    </row>
    <row r="28" spans="1:25" s="51" customFormat="1" x14ac:dyDescent="0.4">
      <c r="A28" s="106" t="s">
        <v>204</v>
      </c>
      <c r="B28" s="49"/>
      <c r="C28" s="49"/>
      <c r="D28" s="49"/>
      <c r="E28" s="49"/>
      <c r="F28" s="383"/>
      <c r="G28" s="334"/>
      <c r="H28" s="330"/>
      <c r="I28" s="383"/>
      <c r="J28" s="49">
        <f>'ตารางที่ 8 ส่ง'!J28</f>
        <v>13762466.516376002</v>
      </c>
      <c r="K28" s="49">
        <f>'ตารางที่ 8 ส่ง'!K28</f>
        <v>28421.264880000002</v>
      </c>
      <c r="L28" s="49">
        <f>'ตารางที่ 8 ส่ง'!L28</f>
        <v>525943.77526800008</v>
      </c>
      <c r="M28" s="49">
        <f>'ตารางที่ 8 ส่ง'!M28</f>
        <v>1604603.404386</v>
      </c>
      <c r="N28" s="49">
        <f t="shared" si="10"/>
        <v>15921434.960910002</v>
      </c>
      <c r="O28" s="334">
        <v>4063</v>
      </c>
      <c r="P28" s="330" t="s">
        <v>99</v>
      </c>
      <c r="Q28" s="49">
        <f t="shared" si="4"/>
        <v>3918.6401577430474</v>
      </c>
      <c r="R28" s="386">
        <v>0</v>
      </c>
      <c r="S28" s="386">
        <v>0</v>
      </c>
      <c r="T28" s="386">
        <v>0</v>
      </c>
      <c r="U28" s="80"/>
      <c r="V28" s="80"/>
      <c r="W28" s="36"/>
      <c r="X28" s="36"/>
      <c r="Y28" s="36"/>
    </row>
    <row r="29" spans="1:25" s="51" customFormat="1" x14ac:dyDescent="0.4">
      <c r="A29" s="106" t="s">
        <v>205</v>
      </c>
      <c r="B29" s="49">
        <f>'ตารางที่ 8 ส่ง'!B29</f>
        <v>111621587.39</v>
      </c>
      <c r="C29" s="49">
        <f>'ตารางที่ 8 ส่ง'!C29</f>
        <v>814262.65</v>
      </c>
      <c r="D29" s="49">
        <f>'ตารางที่ 8 ส่ง'!D29</f>
        <v>7419958.79</v>
      </c>
      <c r="E29" s="49">
        <f>'ตารางที่ 8 ส่ง'!E29</f>
        <v>16018443.460000001</v>
      </c>
      <c r="F29" s="383">
        <f t="shared" ref="F29:F42" si="14">SUM(B29:E29)</f>
        <v>135874252.29000002</v>
      </c>
      <c r="G29" s="334">
        <v>77344</v>
      </c>
      <c r="H29" s="330" t="s">
        <v>100</v>
      </c>
      <c r="I29" s="383">
        <f t="shared" si="8"/>
        <v>1756.7523310146878</v>
      </c>
      <c r="J29" s="49">
        <f>'ตารางที่ 8 ส่ง'!J29</f>
        <v>204398113.81728798</v>
      </c>
      <c r="K29" s="49">
        <f>'ตารางที่ 8 ส่ง'!K29</f>
        <v>422108.41544000001</v>
      </c>
      <c r="L29" s="49">
        <f>'ตารางที่ 8 ส่ง'!L29</f>
        <v>7811239.0326839993</v>
      </c>
      <c r="M29" s="49">
        <f>'ตารางที่ 8 ส่ง'!M29</f>
        <v>23831332.042917997</v>
      </c>
      <c r="N29" s="49">
        <f t="shared" si="10"/>
        <v>236462793.30832997</v>
      </c>
      <c r="O29" s="334">
        <v>36832</v>
      </c>
      <c r="P29" s="330" t="s">
        <v>100</v>
      </c>
      <c r="Q29" s="49">
        <f t="shared" si="4"/>
        <v>6420.0367427326773</v>
      </c>
      <c r="R29" s="528">
        <f t="shared" ref="R29:S35" si="15">SUM(N29-F29)*100/F29</f>
        <v>74.030612366234891</v>
      </c>
      <c r="S29" s="528">
        <f t="shared" si="15"/>
        <v>-52.378982209350433</v>
      </c>
      <c r="T29" s="528">
        <f t="shared" si="2"/>
        <v>265.44916602014746</v>
      </c>
      <c r="U29" s="80"/>
      <c r="V29" s="80"/>
      <c r="W29" s="36"/>
      <c r="X29" s="36"/>
      <c r="Y29" s="36"/>
    </row>
    <row r="30" spans="1:25" s="51" customFormat="1" x14ac:dyDescent="0.4">
      <c r="A30" s="72" t="s">
        <v>206</v>
      </c>
      <c r="B30" s="49"/>
      <c r="C30" s="49"/>
      <c r="D30" s="49"/>
      <c r="E30" s="49"/>
      <c r="F30" s="383"/>
      <c r="G30" s="334"/>
      <c r="H30" s="330"/>
      <c r="I30" s="383"/>
      <c r="J30" s="49">
        <f>'ตารางที่ 8 ส่ง'!J30</f>
        <v>3313186.3835720001</v>
      </c>
      <c r="K30" s="49">
        <f>'ตารางที่ 8 ส่ง'!K30</f>
        <v>6842.1563600000009</v>
      </c>
      <c r="L30" s="49">
        <f>'ตารางที่ 8 ส่ง'!L30</f>
        <v>126616.094046</v>
      </c>
      <c r="M30" s="49">
        <f>'ตารางที่ 8 ส่ง'!M30</f>
        <v>386293.41216699994</v>
      </c>
      <c r="N30" s="49">
        <f t="shared" si="10"/>
        <v>3832938.046145</v>
      </c>
      <c r="O30" s="334">
        <v>129</v>
      </c>
      <c r="P30" s="330" t="s">
        <v>99</v>
      </c>
      <c r="Q30" s="49">
        <f t="shared" si="4"/>
        <v>29712.698032131782</v>
      </c>
      <c r="R30" s="386">
        <v>0</v>
      </c>
      <c r="S30" s="386">
        <v>0</v>
      </c>
      <c r="T30" s="386">
        <v>0</v>
      </c>
      <c r="U30" s="80"/>
      <c r="V30" s="80"/>
      <c r="W30" s="36"/>
      <c r="X30" s="36"/>
      <c r="Y30" s="36"/>
    </row>
    <row r="31" spans="1:25" s="51" customFormat="1" x14ac:dyDescent="0.4">
      <c r="A31" s="106" t="s">
        <v>207</v>
      </c>
      <c r="B31" s="49"/>
      <c r="C31" s="49"/>
      <c r="D31" s="49"/>
      <c r="E31" s="49"/>
      <c r="F31" s="383"/>
      <c r="G31" s="334"/>
      <c r="H31" s="330"/>
      <c r="I31" s="383"/>
      <c r="J31" s="49">
        <f>'ตารางที่ 8 ส่ง'!J31</f>
        <v>16056210.935772</v>
      </c>
      <c r="K31" s="49">
        <f>'ตารางที่ 8 ส่ง'!K31</f>
        <v>33158.142359999998</v>
      </c>
      <c r="L31" s="49">
        <f>'ตารางที่ 8 ส่ง'!L31</f>
        <v>613601.07114600006</v>
      </c>
      <c r="M31" s="49">
        <f>'ตารางที่ 8 ส่ง'!M31</f>
        <v>1872037.3051169997</v>
      </c>
      <c r="N31" s="49">
        <f t="shared" si="10"/>
        <v>18575007.454395</v>
      </c>
      <c r="O31" s="334">
        <v>5071</v>
      </c>
      <c r="P31" s="330" t="s">
        <v>100</v>
      </c>
      <c r="Q31" s="49">
        <f t="shared" si="4"/>
        <v>3662.9870744222048</v>
      </c>
      <c r="R31" s="386">
        <v>0</v>
      </c>
      <c r="S31" s="386">
        <v>0</v>
      </c>
      <c r="T31" s="386">
        <v>0</v>
      </c>
      <c r="U31" s="80"/>
      <c r="V31" s="80"/>
      <c r="W31" s="36"/>
      <c r="X31" s="36"/>
      <c r="Y31" s="36"/>
    </row>
    <row r="32" spans="1:25" s="51" customFormat="1" x14ac:dyDescent="0.4">
      <c r="A32" s="72" t="s">
        <v>120</v>
      </c>
      <c r="B32" s="49"/>
      <c r="C32" s="49"/>
      <c r="D32" s="49"/>
      <c r="E32" s="49"/>
      <c r="F32" s="383"/>
      <c r="G32" s="334"/>
      <c r="H32" s="330"/>
      <c r="I32" s="383"/>
      <c r="J32" s="49">
        <f>'ตารางที่ 8 ส่ง'!J32</f>
        <v>6626372.7671440002</v>
      </c>
      <c r="K32" s="49">
        <f>'ตารางที่ 8 ส่ง'!K32</f>
        <v>13684.312720000002</v>
      </c>
      <c r="L32" s="49">
        <f>'ตารางที่ 8 ส่ง'!L32</f>
        <v>253232.188092</v>
      </c>
      <c r="M32" s="49">
        <f>'ตารางที่ 8 ส่ง'!M32</f>
        <v>772586.82433399989</v>
      </c>
      <c r="N32" s="49">
        <f t="shared" si="10"/>
        <v>7665876.0922900001</v>
      </c>
      <c r="O32" s="334">
        <v>246</v>
      </c>
      <c r="P32" s="330" t="s">
        <v>100</v>
      </c>
      <c r="Q32" s="49">
        <f t="shared" si="4"/>
        <v>31162.097936138212</v>
      </c>
      <c r="R32" s="386">
        <v>0</v>
      </c>
      <c r="S32" s="386">
        <v>0</v>
      </c>
      <c r="T32" s="386">
        <v>0</v>
      </c>
      <c r="U32" s="80"/>
      <c r="V32" s="80"/>
      <c r="W32" s="36"/>
      <c r="X32" s="36"/>
      <c r="Y32" s="36"/>
    </row>
    <row r="33" spans="1:25" s="51" customFormat="1" x14ac:dyDescent="0.4">
      <c r="A33" s="72" t="s">
        <v>208</v>
      </c>
      <c r="B33" s="49">
        <f>'ตารางที่ 8 ส่ง'!B33</f>
        <v>31648225.969999999</v>
      </c>
      <c r="C33" s="49">
        <f>'ตารางที่ 8 ส่ง'!C33</f>
        <v>230869.04</v>
      </c>
      <c r="D33" s="49">
        <f>'ตารางที่ 8 ส่ง'!D33</f>
        <v>2103791.37</v>
      </c>
      <c r="E33" s="49">
        <f>'ตารางที่ 8 ส่ง'!E33</f>
        <v>4541731.8499999996</v>
      </c>
      <c r="F33" s="383">
        <f t="shared" si="14"/>
        <v>38524618.229999997</v>
      </c>
      <c r="G33" s="334">
        <v>2429</v>
      </c>
      <c r="H33" s="330" t="s">
        <v>100</v>
      </c>
      <c r="I33" s="383">
        <f t="shared" si="8"/>
        <v>15860.279221902016</v>
      </c>
      <c r="J33" s="49">
        <f>'ตารางที่ 8 ส่ง'!J33</f>
        <v>27524933.032752004</v>
      </c>
      <c r="K33" s="49">
        <f>'ตารางที่ 8 ส่ง'!K33</f>
        <v>56842.529760000005</v>
      </c>
      <c r="L33" s="49">
        <f>'ตารางที่ 8 ส่ง'!L33</f>
        <v>1051887.5505360002</v>
      </c>
      <c r="M33" s="49">
        <f>'ตารางที่ 8 ส่ง'!M33</f>
        <v>3209206.808772</v>
      </c>
      <c r="N33" s="49">
        <f t="shared" si="10"/>
        <v>31842869.921820004</v>
      </c>
      <c r="O33" s="334">
        <v>2003</v>
      </c>
      <c r="P33" s="330" t="s">
        <v>100</v>
      </c>
      <c r="Q33" s="49">
        <f t="shared" si="4"/>
        <v>15897.588578042938</v>
      </c>
      <c r="R33" s="528">
        <f t="shared" si="15"/>
        <v>-17.344099994161045</v>
      </c>
      <c r="S33" s="528">
        <f t="shared" si="15"/>
        <v>-17.538081515026761</v>
      </c>
      <c r="T33" s="528">
        <f t="shared" si="2"/>
        <v>0.23523770054060913</v>
      </c>
      <c r="U33" s="80"/>
      <c r="V33" s="80"/>
      <c r="W33" s="36"/>
      <c r="X33" s="36"/>
      <c r="Y33" s="36"/>
    </row>
    <row r="34" spans="1:25" s="51" customFormat="1" hidden="1" x14ac:dyDescent="0.4">
      <c r="A34" s="107" t="s">
        <v>209</v>
      </c>
      <c r="B34" s="49"/>
      <c r="C34" s="49"/>
      <c r="D34" s="49"/>
      <c r="E34" s="49"/>
      <c r="F34" s="49"/>
      <c r="G34" s="49"/>
      <c r="H34" s="49"/>
      <c r="I34" s="49"/>
      <c r="J34" s="49">
        <f>'ตารางที่ 8 ส่ง'!J34</f>
        <v>0</v>
      </c>
      <c r="K34" s="49">
        <f>'ตารางที่ 8 ส่ง'!K34</f>
        <v>0</v>
      </c>
      <c r="L34" s="49">
        <f>'ตารางที่ 8 ส่ง'!L34</f>
        <v>0</v>
      </c>
      <c r="M34" s="49">
        <f>'ตารางที่ 8 ส่ง'!M34</f>
        <v>0</v>
      </c>
      <c r="N34" s="49">
        <f t="shared" si="10"/>
        <v>0</v>
      </c>
      <c r="O34" s="334"/>
      <c r="P34" s="330"/>
      <c r="Q34" s="49"/>
      <c r="R34" s="528">
        <v>0</v>
      </c>
      <c r="S34" s="528">
        <v>0</v>
      </c>
      <c r="T34" s="528">
        <v>0</v>
      </c>
      <c r="U34" s="80"/>
      <c r="V34" s="80"/>
      <c r="W34" s="36"/>
      <c r="X34" s="36"/>
      <c r="Y34" s="36"/>
    </row>
    <row r="35" spans="1:25" s="51" customFormat="1" x14ac:dyDescent="0.4">
      <c r="A35" s="72" t="s">
        <v>346</v>
      </c>
      <c r="B35" s="49">
        <f>'ตารางที่ 8 ส่ง'!B35</f>
        <v>39797170.380000003</v>
      </c>
      <c r="C35" s="49">
        <f>'ตารางที่ 8 ส่ง'!C35</f>
        <v>290314.36</v>
      </c>
      <c r="D35" s="49">
        <f>'ตารางที่ 8 ส่ง'!D35</f>
        <v>2645486.16</v>
      </c>
      <c r="E35" s="49">
        <f>'ตารางที่ 8 ส่ง'!E35</f>
        <v>5711159.8099999996</v>
      </c>
      <c r="F35" s="383">
        <f t="shared" si="14"/>
        <v>48444130.710000008</v>
      </c>
      <c r="G35" s="334">
        <v>15</v>
      </c>
      <c r="H35" s="330" t="s">
        <v>101</v>
      </c>
      <c r="I35" s="383">
        <f t="shared" si="8"/>
        <v>3229608.7140000006</v>
      </c>
      <c r="J35" s="49">
        <f>'ตารางที่ 8 ส่ง'!J35</f>
        <v>36445050.219292</v>
      </c>
      <c r="K35" s="49">
        <f>'ตารางที่ 8 ส่ง'!K35</f>
        <v>75263.719960000002</v>
      </c>
      <c r="L35" s="49">
        <f>'ตารางที่ 8 ส่ง'!L35</f>
        <v>1392777.0345059999</v>
      </c>
      <c r="M35" s="49">
        <f>'ตารางที่ 8 ส่ง'!M35</f>
        <v>4249227.5338369999</v>
      </c>
      <c r="N35" s="49">
        <f t="shared" si="10"/>
        <v>42162318.507594995</v>
      </c>
      <c r="O35" s="334">
        <v>35</v>
      </c>
      <c r="P35" s="330" t="s">
        <v>101</v>
      </c>
      <c r="Q35" s="49">
        <f t="shared" si="4"/>
        <v>1204637.6716455712</v>
      </c>
      <c r="R35" s="528">
        <f>SUM(N35-F35)*100/F35</f>
        <v>-12.967127514393191</v>
      </c>
      <c r="S35" s="528">
        <f t="shared" si="15"/>
        <v>133.33333333333334</v>
      </c>
      <c r="T35" s="528">
        <f t="shared" si="2"/>
        <v>-62.700197506168514</v>
      </c>
      <c r="U35" s="80"/>
      <c r="V35" s="80"/>
      <c r="W35" s="36"/>
      <c r="X35" s="36"/>
      <c r="Y35" s="36"/>
    </row>
    <row r="36" spans="1:25" s="51" customFormat="1" x14ac:dyDescent="0.4">
      <c r="A36" s="106" t="s">
        <v>347</v>
      </c>
      <c r="B36" s="49">
        <f>'ตารางที่ 8 ส่ง'!B36</f>
        <v>596010003.97000003</v>
      </c>
      <c r="C36" s="49">
        <f>'ตารางที่ 8 ส่ง'!C36</f>
        <v>4347803.09</v>
      </c>
      <c r="D36" s="49">
        <f>'ตารางที่ 8 ส่ง'!D36</f>
        <v>39619304.590000004</v>
      </c>
      <c r="E36" s="49">
        <f>'ตารางที่ 8 ส่ง'!E36</f>
        <v>85531417.120000005</v>
      </c>
      <c r="F36" s="383">
        <f t="shared" si="14"/>
        <v>725508528.7700001</v>
      </c>
      <c r="G36" s="334">
        <v>3978493</v>
      </c>
      <c r="H36" s="330" t="s">
        <v>100</v>
      </c>
      <c r="I36" s="383">
        <f t="shared" si="8"/>
        <v>182.35762354489503</v>
      </c>
      <c r="J36" s="49">
        <f>'ตารางที่ 8 ส่ง'!J36</f>
        <v>380251852.63764799</v>
      </c>
      <c r="K36" s="49">
        <f>'ตารางที่ 8 ส่ง'!K36</f>
        <v>785269.02224000008</v>
      </c>
      <c r="L36" s="49">
        <f>'ตารางที่ 8 ส่ง'!L36</f>
        <v>14531631.716663999</v>
      </c>
      <c r="M36" s="49">
        <f>'ตารางที่ 8 ส่ง'!M36</f>
        <v>44334597.765627995</v>
      </c>
      <c r="N36" s="49">
        <f t="shared" si="10"/>
        <v>439903351.14217997</v>
      </c>
      <c r="O36" s="334">
        <v>4391901</v>
      </c>
      <c r="P36" s="330" t="s">
        <v>100</v>
      </c>
      <c r="Q36" s="49">
        <f t="shared" si="4"/>
        <v>100.16240146173148</v>
      </c>
      <c r="R36" s="528">
        <f t="shared" ref="R36:R41" si="16">SUM(N36-F36)*100/F36</f>
        <v>-39.366205399683501</v>
      </c>
      <c r="S36" s="528">
        <f t="shared" ref="S36:S42" si="17">SUM(O36-G36)*100/G36</f>
        <v>10.391070186625941</v>
      </c>
      <c r="T36" s="528">
        <f t="shared" ref="T36:T42" si="18">SUM(Q36-I36)*100/I36</f>
        <v>-45.073641828265941</v>
      </c>
      <c r="U36" s="80"/>
      <c r="V36" s="80"/>
      <c r="W36" s="36"/>
      <c r="X36" s="36"/>
      <c r="Y36" s="36"/>
    </row>
    <row r="37" spans="1:25" s="51" customFormat="1" x14ac:dyDescent="0.4">
      <c r="A37" s="106" t="s">
        <v>348</v>
      </c>
      <c r="B37" s="49">
        <f>'ตารางที่ 8 ส่ง'!B37</f>
        <v>127540455.54000001</v>
      </c>
      <c r="C37" s="49">
        <f>'ตารางที่ 8 ส่ง'!C37</f>
        <v>930388.39</v>
      </c>
      <c r="D37" s="49">
        <f>'ตารางที่ 8 ส่ง'!D37</f>
        <v>8478153.2599999998</v>
      </c>
      <c r="E37" s="49">
        <f>'ตารางที่ 8 ส่ง'!E37</f>
        <v>18302907.379999999</v>
      </c>
      <c r="F37" s="383">
        <f t="shared" si="14"/>
        <v>155251904.56999999</v>
      </c>
      <c r="G37" s="334">
        <v>17</v>
      </c>
      <c r="H37" s="330" t="s">
        <v>102</v>
      </c>
      <c r="I37" s="383">
        <f t="shared" si="8"/>
        <v>9132464.9747058824</v>
      </c>
      <c r="J37" s="49">
        <f>'ตารางที่ 8 ส่ง'!J37</f>
        <v>112648337.041448</v>
      </c>
      <c r="K37" s="49">
        <f>'ตารางที่ 8 ส่ง'!K37</f>
        <v>232633.31624000001</v>
      </c>
      <c r="L37" s="49">
        <f>'ตารางที่ 8 ส่ง'!L37</f>
        <v>4304947.1975640003</v>
      </c>
      <c r="M37" s="49">
        <f>'ตารางที่ 8 ส่ง'!M37</f>
        <v>13133976.013677998</v>
      </c>
      <c r="N37" s="49">
        <f t="shared" si="10"/>
        <v>130319893.56893</v>
      </c>
      <c r="O37" s="334">
        <v>21</v>
      </c>
      <c r="P37" s="330" t="s">
        <v>102</v>
      </c>
      <c r="Q37" s="49">
        <f t="shared" si="4"/>
        <v>6205709.2175680948</v>
      </c>
      <c r="R37" s="528">
        <f t="shared" si="16"/>
        <v>-16.059069336459345</v>
      </c>
      <c r="S37" s="528">
        <f t="shared" si="17"/>
        <v>23.529411764705884</v>
      </c>
      <c r="T37" s="528">
        <f t="shared" si="18"/>
        <v>-32.047818034276617</v>
      </c>
      <c r="U37" s="80"/>
      <c r="V37" s="80"/>
      <c r="W37" s="36"/>
      <c r="X37" s="36"/>
      <c r="Y37" s="36"/>
    </row>
    <row r="38" spans="1:25" s="51" customFormat="1" x14ac:dyDescent="0.4">
      <c r="A38" s="72" t="s">
        <v>349</v>
      </c>
      <c r="B38" s="49">
        <f>'ตารางที่ 8 ส่ง'!B38</f>
        <v>3221675.7</v>
      </c>
      <c r="C38" s="49">
        <f>'ตารางที่ 8 ส่ง'!C38</f>
        <v>23501.64</v>
      </c>
      <c r="D38" s="49">
        <f>'ตารางที่ 8 ส่ง'!D38</f>
        <v>214158.4</v>
      </c>
      <c r="E38" s="49">
        <f>'ตารางที่ 8 ส่ง'!E38</f>
        <v>462331.98</v>
      </c>
      <c r="F38" s="383">
        <f t="shared" si="14"/>
        <v>3921667.72</v>
      </c>
      <c r="G38" s="334">
        <v>61</v>
      </c>
      <c r="H38" s="330" t="s">
        <v>100</v>
      </c>
      <c r="I38" s="383">
        <f t="shared" si="8"/>
        <v>64289.634754098362</v>
      </c>
      <c r="J38" s="49">
        <f>'ตารางที่ 8 ส่ง'!J38</f>
        <v>3313186.3835720001</v>
      </c>
      <c r="K38" s="49">
        <f>'ตารางที่ 8 ส่ง'!K38</f>
        <v>6842.1563600000009</v>
      </c>
      <c r="L38" s="49">
        <f>'ตารางที่ 8 ส่ง'!L38</f>
        <v>126616.094046</v>
      </c>
      <c r="M38" s="49">
        <f>'ตารางที่ 8 ส่ง'!M38</f>
        <v>386293.41216699994</v>
      </c>
      <c r="N38" s="49">
        <f t="shared" si="10"/>
        <v>3832938.046145</v>
      </c>
      <c r="O38" s="334">
        <v>114</v>
      </c>
      <c r="P38" s="330" t="s">
        <v>100</v>
      </c>
      <c r="Q38" s="49">
        <f t="shared" si="4"/>
        <v>33622.263562675442</v>
      </c>
      <c r="R38" s="528">
        <f t="shared" si="16"/>
        <v>-2.2625495118439094</v>
      </c>
      <c r="S38" s="528">
        <f t="shared" si="17"/>
        <v>86.885245901639351</v>
      </c>
      <c r="T38" s="528">
        <f t="shared" si="18"/>
        <v>-47.701890528267349</v>
      </c>
      <c r="U38" s="80"/>
      <c r="V38" s="80"/>
      <c r="W38" s="36"/>
      <c r="X38" s="36"/>
      <c r="Y38" s="36"/>
    </row>
    <row r="39" spans="1:25" s="51" customFormat="1" ht="36.6" x14ac:dyDescent="0.4">
      <c r="A39" s="106" t="s">
        <v>350</v>
      </c>
      <c r="B39" s="349">
        <f>'ตารางที่ 8 ส่ง'!B39</f>
        <v>32974798.309999999</v>
      </c>
      <c r="C39" s="349">
        <f>'ตารางที่ 8 ส่ง'!C39</f>
        <v>240546.18</v>
      </c>
      <c r="D39" s="349">
        <f>'ตารางที่ 8 ส่ง'!D39</f>
        <v>2191974.2400000002</v>
      </c>
      <c r="E39" s="349">
        <f>'ตารางที่ 8 ส่ง'!E39</f>
        <v>4732103.84</v>
      </c>
      <c r="F39" s="391">
        <f t="shared" si="14"/>
        <v>40139422.569999993</v>
      </c>
      <c r="G39" s="347">
        <v>3</v>
      </c>
      <c r="H39" s="516" t="s">
        <v>123</v>
      </c>
      <c r="I39" s="391">
        <f t="shared" si="8"/>
        <v>13379807.523333332</v>
      </c>
      <c r="J39" s="349">
        <f>'ตารางที่ 8 ส่ง'!J39</f>
        <v>15291629.462639999</v>
      </c>
      <c r="K39" s="349">
        <f>'ตารางที่ 8 ส่ง'!K39</f>
        <v>31579.183199999999</v>
      </c>
      <c r="L39" s="349">
        <f>'ตารางที่ 8 ส่ง'!L39</f>
        <v>584381.97251999995</v>
      </c>
      <c r="M39" s="349">
        <f>'ตารางที่ 8 ส่ง'!M39</f>
        <v>1782892.6715399998</v>
      </c>
      <c r="N39" s="349">
        <f t="shared" si="10"/>
        <v>17690483.289899997</v>
      </c>
      <c r="O39" s="347">
        <v>5</v>
      </c>
      <c r="P39" s="348" t="s">
        <v>105</v>
      </c>
      <c r="Q39" s="349">
        <f t="shared" si="4"/>
        <v>3538096.6579799997</v>
      </c>
      <c r="R39" s="529">
        <f t="shared" ref="R39" si="19">SUM(N39-F39)*100/F39</f>
        <v>-55.927409620681054</v>
      </c>
      <c r="S39" s="529">
        <f t="shared" ref="S39" si="20">SUM(O39-G39)*100/G39</f>
        <v>66.666666666666671</v>
      </c>
      <c r="T39" s="529">
        <f t="shared" ref="T39" si="21">SUM(Q39-I39)*100/I39</f>
        <v>-73.556445772408622</v>
      </c>
      <c r="U39" s="80"/>
      <c r="V39" s="80"/>
      <c r="W39" s="36"/>
      <c r="X39" s="36"/>
      <c r="Y39" s="36"/>
    </row>
    <row r="40" spans="1:25" s="51" customFormat="1" x14ac:dyDescent="0.4">
      <c r="A40" s="106" t="s">
        <v>351</v>
      </c>
      <c r="B40" s="49">
        <f>'ตารางที่ 8 ส่ง'!B40</f>
        <v>29374101.940000001</v>
      </c>
      <c r="C40" s="49">
        <f>'ตารางที่ 8 ส่ง'!C40</f>
        <v>214279.64</v>
      </c>
      <c r="D40" s="49">
        <f>'ตารางที่ 8 ส่ง'!D40</f>
        <v>1952620.73</v>
      </c>
      <c r="E40" s="49">
        <f>'ตารางที่ 8 ส่ง'!E40</f>
        <v>4215379.8600000003</v>
      </c>
      <c r="F40" s="383">
        <f t="shared" si="14"/>
        <v>35756382.170000002</v>
      </c>
      <c r="G40" s="334">
        <v>14365</v>
      </c>
      <c r="H40" s="330" t="s">
        <v>100</v>
      </c>
      <c r="I40" s="383">
        <f t="shared" si="8"/>
        <v>2489.1320689175081</v>
      </c>
      <c r="J40" s="49">
        <f>'ตารางที่ 8 ส่ง'!J40</f>
        <v>73909542.402759999</v>
      </c>
      <c r="K40" s="49">
        <f>'ตารางที่ 8 ส่ง'!K40</f>
        <v>152632.7188</v>
      </c>
      <c r="L40" s="49">
        <f>'ตารางที่ 8 ส่ง'!L40</f>
        <v>2824512.8671800001</v>
      </c>
      <c r="M40" s="49">
        <f>'ตารางที่ 8 ส่ง'!M40</f>
        <v>8617314.5791099984</v>
      </c>
      <c r="N40" s="49">
        <f t="shared" si="10"/>
        <v>85504002.567849994</v>
      </c>
      <c r="O40" s="334">
        <v>31569</v>
      </c>
      <c r="P40" s="330" t="s">
        <v>100</v>
      </c>
      <c r="Q40" s="49">
        <f t="shared" si="4"/>
        <v>2708.4799191564507</v>
      </c>
      <c r="R40" s="528">
        <f t="shared" si="16"/>
        <v>139.12934524899666</v>
      </c>
      <c r="S40" s="528">
        <f t="shared" si="17"/>
        <v>119.76331360946746</v>
      </c>
      <c r="T40" s="528">
        <f t="shared" si="18"/>
        <v>8.8122222592364956</v>
      </c>
      <c r="U40" s="80"/>
      <c r="V40" s="80"/>
      <c r="W40" s="36"/>
      <c r="X40" s="36"/>
      <c r="Y40" s="36"/>
    </row>
    <row r="41" spans="1:25" s="51" customFormat="1" x14ac:dyDescent="0.4">
      <c r="A41" s="72" t="s">
        <v>352</v>
      </c>
      <c r="B41" s="49">
        <f>'ตารางที่ 8 ส่ง'!B41</f>
        <v>28237039.93</v>
      </c>
      <c r="C41" s="49">
        <f>'ตารางที่ 8 ส่ง'!C41</f>
        <v>205984.95</v>
      </c>
      <c r="D41" s="49">
        <f>'ตารางที่ 8 ส่ง'!D41</f>
        <v>1877035.42</v>
      </c>
      <c r="E41" s="49">
        <f>'ตารางที่ 8 ส่ง'!E41</f>
        <v>4052203.86</v>
      </c>
      <c r="F41" s="383">
        <f t="shared" si="14"/>
        <v>34372264.159999996</v>
      </c>
      <c r="G41" s="334">
        <v>7906</v>
      </c>
      <c r="H41" s="330" t="s">
        <v>100</v>
      </c>
      <c r="I41" s="383">
        <f t="shared" si="8"/>
        <v>4347.6175259296733</v>
      </c>
      <c r="J41" s="49">
        <f>'ตารางที่ 8 ส่ง'!J41</f>
        <v>25740909.595444001</v>
      </c>
      <c r="K41" s="49">
        <f>'ตารางที่ 8 ส่ง'!K41</f>
        <v>53158.291720000001</v>
      </c>
      <c r="L41" s="49">
        <f>'ตารางที่ 8 ส่ง'!L41</f>
        <v>983709.65374199999</v>
      </c>
      <c r="M41" s="49">
        <f>'ตารางที่ 8 ส่ง'!M41</f>
        <v>3001202.6637589997</v>
      </c>
      <c r="N41" s="49">
        <f t="shared" si="10"/>
        <v>29778980.204665001</v>
      </c>
      <c r="O41" s="334">
        <v>8200</v>
      </c>
      <c r="P41" s="330" t="s">
        <v>100</v>
      </c>
      <c r="Q41" s="49">
        <f t="shared" si="4"/>
        <v>3631.5829517884149</v>
      </c>
      <c r="R41" s="528">
        <f t="shared" si="16"/>
        <v>-13.363344160145065</v>
      </c>
      <c r="S41" s="528">
        <f t="shared" si="17"/>
        <v>3.7186946622818113</v>
      </c>
      <c r="T41" s="528">
        <f t="shared" si="18"/>
        <v>-16.46958523537889</v>
      </c>
      <c r="U41" s="80"/>
      <c r="V41" s="80"/>
      <c r="W41" s="36"/>
      <c r="X41" s="36"/>
      <c r="Y41" s="36"/>
    </row>
    <row r="42" spans="1:25" s="51" customFormat="1" x14ac:dyDescent="0.4">
      <c r="A42" s="172" t="s">
        <v>369</v>
      </c>
      <c r="B42" s="49">
        <f>'ตารางที่ 8 ส่ง'!B42</f>
        <v>947551.68</v>
      </c>
      <c r="C42" s="49">
        <f>'ตารางที่ 8 ส่ง'!C42</f>
        <v>6912.25</v>
      </c>
      <c r="D42" s="49">
        <f>'ตารางที่ 8 ส่ง'!D42</f>
        <v>62987.77</v>
      </c>
      <c r="E42" s="49">
        <f>'ตารางที่ 8 ส่ง'!E42</f>
        <v>135980</v>
      </c>
      <c r="F42" s="383">
        <f t="shared" si="14"/>
        <v>1153431.7000000002</v>
      </c>
      <c r="G42" s="334">
        <v>171</v>
      </c>
      <c r="H42" s="330" t="s">
        <v>100</v>
      </c>
      <c r="I42" s="383">
        <f t="shared" si="8"/>
        <v>6745.2146198830424</v>
      </c>
      <c r="J42" s="49">
        <f>'ตารางที่ 8 ส่ง'!J42</f>
        <v>764581.47313199996</v>
      </c>
      <c r="K42" s="49">
        <f>'ตารางที่ 8 ส่ง'!K42</f>
        <v>1578.9591599999999</v>
      </c>
      <c r="L42" s="49">
        <f>'ตารางที่ 8 ส่ง'!L42</f>
        <v>29219.098626000003</v>
      </c>
      <c r="M42" s="49">
        <f>'ตารางที่ 8 ส่ง'!M42</f>
        <v>89144.633577000001</v>
      </c>
      <c r="N42" s="49">
        <f t="shared" si="10"/>
        <v>884524.16449499992</v>
      </c>
      <c r="O42" s="334">
        <v>170</v>
      </c>
      <c r="P42" s="330" t="s">
        <v>100</v>
      </c>
      <c r="Q42" s="49">
        <f t="shared" si="4"/>
        <v>5203.0833205588233</v>
      </c>
      <c r="R42" s="528">
        <f>SUM(N42-F42)*100/F42</f>
        <v>-23.31369386717915</v>
      </c>
      <c r="S42" s="528">
        <f t="shared" si="17"/>
        <v>-0.58479532163742687</v>
      </c>
      <c r="T42" s="528">
        <f t="shared" si="18"/>
        <v>-22.862597948750793</v>
      </c>
      <c r="U42" s="80"/>
      <c r="V42" s="80"/>
      <c r="W42" s="36"/>
      <c r="X42" s="36"/>
      <c r="Y42" s="36"/>
    </row>
    <row r="43" spans="1:25" s="51" customFormat="1" ht="36.6" x14ac:dyDescent="0.4">
      <c r="A43" s="106" t="s">
        <v>354</v>
      </c>
      <c r="B43" s="49"/>
      <c r="C43" s="49"/>
      <c r="D43" s="49"/>
      <c r="E43" s="49"/>
      <c r="F43" s="383"/>
      <c r="G43" s="347"/>
      <c r="H43" s="348"/>
      <c r="I43" s="383"/>
      <c r="J43" s="349">
        <f>'ตารางที่ 8 ส่ง'!J43</f>
        <v>94808102.668368012</v>
      </c>
      <c r="K43" s="349">
        <f>'ตารางที่ 8 ส่ง'!K43</f>
        <v>195790.93584000002</v>
      </c>
      <c r="L43" s="349">
        <f>'ตารางที่ 8 ส่ง'!L43</f>
        <v>3623168.2296240004</v>
      </c>
      <c r="M43" s="349">
        <f>'ตารางที่ 8 ส่ง'!M43</f>
        <v>11053934.563548001</v>
      </c>
      <c r="N43" s="349">
        <f t="shared" si="10"/>
        <v>109680996.39738001</v>
      </c>
      <c r="O43" s="347">
        <v>10939</v>
      </c>
      <c r="P43" s="348" t="s">
        <v>100</v>
      </c>
      <c r="Q43" s="349">
        <f t="shared" si="4"/>
        <v>10026.601736665143</v>
      </c>
      <c r="R43" s="392">
        <v>0</v>
      </c>
      <c r="S43" s="393">
        <v>0</v>
      </c>
      <c r="T43" s="392">
        <v>0</v>
      </c>
      <c r="U43" s="80"/>
      <c r="V43" s="80"/>
      <c r="W43" s="36"/>
      <c r="X43" s="36"/>
      <c r="Y43" s="36"/>
    </row>
    <row r="44" spans="1:25" s="51" customFormat="1" x14ac:dyDescent="0.4">
      <c r="A44" s="106" t="s">
        <v>370</v>
      </c>
      <c r="B44" s="49">
        <f>'ตารางที่ 8 ส่ง'!B44</f>
        <v>28237039.93</v>
      </c>
      <c r="C44" s="49">
        <f>'ตารางที่ 8 ส่ง'!C44</f>
        <v>205984.95</v>
      </c>
      <c r="D44" s="49">
        <f>'ตารางที่ 8 ส่ง'!D44</f>
        <v>1877035.42</v>
      </c>
      <c r="E44" s="49">
        <f>'ตารางที่ 8 ส่ง'!E44</f>
        <v>4052203.86</v>
      </c>
      <c r="F44" s="383">
        <f>SUM(B44:E44)</f>
        <v>34372264.159999996</v>
      </c>
      <c r="G44" s="334">
        <v>6258</v>
      </c>
      <c r="H44" s="330" t="s">
        <v>100</v>
      </c>
      <c r="I44" s="383">
        <f>F44/G44</f>
        <v>5492.5318248641734</v>
      </c>
      <c r="J44" s="49"/>
      <c r="K44" s="49"/>
      <c r="L44" s="49"/>
      <c r="M44" s="49"/>
      <c r="N44" s="49">
        <f t="shared" si="10"/>
        <v>0</v>
      </c>
      <c r="O44" s="334"/>
      <c r="P44" s="330"/>
      <c r="Q44" s="49"/>
      <c r="R44" s="385"/>
      <c r="S44" s="386"/>
      <c r="T44" s="385"/>
      <c r="U44" s="80"/>
      <c r="V44" s="80"/>
      <c r="W44" s="36"/>
      <c r="X44" s="36"/>
      <c r="Y44" s="36"/>
    </row>
    <row r="45" spans="1:25" s="51" customFormat="1" x14ac:dyDescent="0.4">
      <c r="A45" s="106" t="s">
        <v>371</v>
      </c>
      <c r="B45" s="49">
        <f>'ตารางที่ 8 ส่ง'!B45</f>
        <v>5116779.05</v>
      </c>
      <c r="C45" s="49">
        <f>'ตารางที่ 8 ส่ง'!C45</f>
        <v>37326.129999999997</v>
      </c>
      <c r="D45" s="49">
        <f>'ตารางที่ 8 ส่ง'!D45</f>
        <v>340133.93</v>
      </c>
      <c r="E45" s="49">
        <f>'ตารางที่ 8 ส่ง'!E45</f>
        <v>734291.98</v>
      </c>
      <c r="F45" s="383">
        <f t="shared" ref="F45:F47" si="22">SUM(B45:E45)</f>
        <v>6228531.0899999999</v>
      </c>
      <c r="G45" s="334">
        <v>124</v>
      </c>
      <c r="H45" s="330" t="s">
        <v>99</v>
      </c>
      <c r="I45" s="383">
        <f t="shared" ref="I45:I48" si="23">F45/G45</f>
        <v>50230.089435483867</v>
      </c>
      <c r="J45" s="49"/>
      <c r="K45" s="49"/>
      <c r="L45" s="49"/>
      <c r="M45" s="49"/>
      <c r="N45" s="49"/>
      <c r="O45" s="334"/>
      <c r="P45" s="330"/>
      <c r="Q45" s="49"/>
      <c r="R45" s="385"/>
      <c r="S45" s="386"/>
      <c r="T45" s="385"/>
      <c r="U45" s="80"/>
      <c r="V45" s="80"/>
      <c r="W45" s="36"/>
      <c r="X45" s="36"/>
      <c r="Y45" s="36"/>
    </row>
    <row r="46" spans="1:25" s="51" customFormat="1" x14ac:dyDescent="0.4">
      <c r="A46" s="145" t="s">
        <v>372</v>
      </c>
      <c r="B46" s="49">
        <f>'ตารางที่ 8 ส่ง'!B46</f>
        <v>41123742.719999999</v>
      </c>
      <c r="C46" s="49">
        <f>'ตารางที่ 8 ส่ง'!C46</f>
        <v>299991.5</v>
      </c>
      <c r="D46" s="49">
        <f>'ตารางที่ 8 ส่ง'!D46</f>
        <v>2733669.03</v>
      </c>
      <c r="E46" s="49">
        <f>'ตารางที่ 8 ส่ง'!E46</f>
        <v>5901531.7999999998</v>
      </c>
      <c r="F46" s="383">
        <f t="shared" si="22"/>
        <v>50058935.049999997</v>
      </c>
      <c r="G46" s="334">
        <v>5</v>
      </c>
      <c r="H46" s="330" t="s">
        <v>99</v>
      </c>
      <c r="I46" s="383">
        <f t="shared" si="23"/>
        <v>10011787.01</v>
      </c>
      <c r="J46" s="49"/>
      <c r="K46" s="49"/>
      <c r="L46" s="49"/>
      <c r="M46" s="49"/>
      <c r="N46" s="49"/>
      <c r="O46" s="334"/>
      <c r="P46" s="330"/>
      <c r="Q46" s="49"/>
      <c r="R46" s="385"/>
      <c r="S46" s="386"/>
      <c r="T46" s="385"/>
      <c r="U46" s="80"/>
      <c r="V46" s="80"/>
      <c r="W46" s="36"/>
      <c r="X46" s="36"/>
      <c r="Y46" s="36"/>
    </row>
    <row r="47" spans="1:25" s="51" customFormat="1" x14ac:dyDescent="0.4">
      <c r="A47" s="106" t="s">
        <v>373</v>
      </c>
      <c r="B47" s="49">
        <f>'ตารางที่ 8 ส่ง'!B47</f>
        <v>70118824</v>
      </c>
      <c r="C47" s="49">
        <f>'ตารางที่ 8 ส่ง'!C47</f>
        <v>511506.25</v>
      </c>
      <c r="D47" s="49">
        <f>'ตารางที่ 8 ส่ง'!D47</f>
        <v>4661094.66</v>
      </c>
      <c r="E47" s="49">
        <f>'ตารางที่ 8 ส่ง'!E47</f>
        <v>10062519.66</v>
      </c>
      <c r="F47" s="383">
        <f t="shared" si="22"/>
        <v>85353944.569999993</v>
      </c>
      <c r="G47" s="334">
        <v>20958</v>
      </c>
      <c r="H47" s="330" t="s">
        <v>100</v>
      </c>
      <c r="I47" s="383">
        <f t="shared" si="23"/>
        <v>4072.6187885294394</v>
      </c>
      <c r="J47" s="49"/>
      <c r="K47" s="49"/>
      <c r="L47" s="49"/>
      <c r="M47" s="49"/>
      <c r="N47" s="49"/>
      <c r="O47" s="334"/>
      <c r="P47" s="330"/>
      <c r="Q47" s="49"/>
      <c r="R47" s="385"/>
      <c r="S47" s="386"/>
      <c r="T47" s="385"/>
      <c r="U47" s="80"/>
      <c r="V47" s="80"/>
      <c r="W47" s="36"/>
      <c r="X47" s="36"/>
      <c r="Y47" s="36"/>
    </row>
    <row r="48" spans="1:25" s="51" customFormat="1" x14ac:dyDescent="0.4">
      <c r="A48" s="106" t="s">
        <v>377</v>
      </c>
      <c r="B48" s="49">
        <f>'ตารางที่ 8 ส่ง'!B48</f>
        <v>154829943.80000001</v>
      </c>
      <c r="C48" s="49">
        <f>'ตารางที่ 8 ส่ง'!C48</f>
        <v>1129461.0900000001</v>
      </c>
      <c r="D48" s="49">
        <f>'ตารางที่ 8 ส่ง'!D48</f>
        <v>10292200.91</v>
      </c>
      <c r="E48" s="49">
        <f>'ตารางที่ 8 ส่ง'!E48</f>
        <v>22219131.25</v>
      </c>
      <c r="F48" s="383">
        <f>SUM(B48:E48)</f>
        <v>188470737.05000001</v>
      </c>
      <c r="G48" s="334">
        <v>23791</v>
      </c>
      <c r="H48" s="330" t="s">
        <v>100</v>
      </c>
      <c r="I48" s="383">
        <f t="shared" si="23"/>
        <v>7921.9342209238794</v>
      </c>
      <c r="J48" s="49"/>
      <c r="K48" s="49"/>
      <c r="L48" s="49"/>
      <c r="M48" s="49"/>
      <c r="N48" s="49"/>
      <c r="O48" s="334"/>
      <c r="P48" s="330"/>
      <c r="Q48" s="49"/>
      <c r="R48" s="385"/>
      <c r="S48" s="386"/>
      <c r="T48" s="385"/>
      <c r="U48" s="80"/>
      <c r="V48" s="80"/>
      <c r="W48" s="36"/>
      <c r="X48" s="36"/>
      <c r="Y48" s="36"/>
    </row>
    <row r="49" spans="1:25" s="51" customFormat="1" x14ac:dyDescent="0.4">
      <c r="A49" s="107" t="s">
        <v>378</v>
      </c>
      <c r="B49" s="49"/>
      <c r="C49" s="49"/>
      <c r="D49" s="49"/>
      <c r="E49" s="49"/>
      <c r="F49" s="383"/>
      <c r="G49" s="334"/>
      <c r="H49" s="330"/>
      <c r="I49" s="383"/>
      <c r="J49" s="49">
        <f>'ตารางที่ 8 ส่ง'!J49</f>
        <v>677674045.68599606</v>
      </c>
      <c r="K49" s="49">
        <f>'ตารางที่ 8 ส่ง'!K49</f>
        <v>1399484.1354800002</v>
      </c>
      <c r="L49" s="49">
        <f>'ตารางที่ 8 ส่ง'!L49</f>
        <v>25897861.082178</v>
      </c>
      <c r="M49" s="49">
        <f>'ตารางที่ 8 ส่ง'!M49</f>
        <v>79011860.227081001</v>
      </c>
      <c r="N49" s="49">
        <f>SUM(J49:M49)</f>
        <v>783983251.13073516</v>
      </c>
      <c r="O49" s="334">
        <v>270230</v>
      </c>
      <c r="P49" s="330" t="s">
        <v>100</v>
      </c>
      <c r="Q49" s="49">
        <f>+N49/O49</f>
        <v>2901.1703035589503</v>
      </c>
      <c r="R49" s="385">
        <v>0</v>
      </c>
      <c r="S49" s="386">
        <v>0</v>
      </c>
      <c r="T49" s="385">
        <v>0</v>
      </c>
      <c r="U49" s="80"/>
      <c r="V49" s="80"/>
      <c r="W49" s="36"/>
      <c r="X49" s="36"/>
      <c r="Y49" s="36"/>
    </row>
    <row r="50" spans="1:25" s="178" customFormat="1" x14ac:dyDescent="0.4">
      <c r="A50" s="408" t="s">
        <v>376</v>
      </c>
      <c r="B50" s="403"/>
      <c r="C50" s="403"/>
      <c r="D50" s="403"/>
      <c r="E50" s="403"/>
      <c r="F50" s="404"/>
      <c r="G50" s="405"/>
      <c r="H50" s="406"/>
      <c r="I50" s="404"/>
      <c r="J50" s="403">
        <f>'ตารางที่ 8 ส่ง'!J50</f>
        <v>111374034.58622801</v>
      </c>
      <c r="K50" s="403">
        <f>'ตารางที่ 8 ส่ง'!K50</f>
        <v>230001.71764000002</v>
      </c>
      <c r="L50" s="403">
        <f>'ตารางที่ 8 ส่ง'!L50</f>
        <v>4256248.6998540005</v>
      </c>
      <c r="M50" s="403">
        <f>'ตารางที่ 8 ส่ง'!M50</f>
        <v>12985401.624382999</v>
      </c>
      <c r="N50" s="403">
        <f>SUM(J50:M50)</f>
        <v>128845686.62810501</v>
      </c>
      <c r="O50" s="405">
        <v>11607</v>
      </c>
      <c r="P50" s="406" t="s">
        <v>100</v>
      </c>
      <c r="Q50" s="49">
        <f t="shared" ref="Q50" si="24">+N50/O50</f>
        <v>11100.688087197814</v>
      </c>
      <c r="R50" s="385">
        <v>0</v>
      </c>
      <c r="S50" s="386">
        <v>0</v>
      </c>
      <c r="T50" s="385">
        <v>0</v>
      </c>
      <c r="U50" s="407"/>
      <c r="V50" s="407"/>
      <c r="W50" s="177"/>
      <c r="X50" s="177"/>
      <c r="Y50" s="177"/>
    </row>
    <row r="51" spans="1:25" x14ac:dyDescent="0.4">
      <c r="A51" s="394" t="s">
        <v>17</v>
      </c>
      <c r="B51" s="43">
        <f>SUM(B16:B50)</f>
        <v>1895103351.2500002</v>
      </c>
      <c r="C51" s="43">
        <f>SUM(C16:C50)-0.03</f>
        <v>13824493.130000003</v>
      </c>
      <c r="D51" s="43">
        <f>SUM(D16:D50)-0.01</f>
        <v>125975531.28</v>
      </c>
      <c r="E51" s="43">
        <f>SUM(E16:E50)</f>
        <v>271959990.83000004</v>
      </c>
      <c r="F51" s="43">
        <f>+B51+C51+D51+E51-0.02</f>
        <v>2306863366.4700003</v>
      </c>
      <c r="G51" s="519">
        <f>SUM(G16:G49)</f>
        <v>4267389</v>
      </c>
      <c r="H51" s="330"/>
      <c r="I51" s="383">
        <f>+F51/G51</f>
        <v>540.57958308230172</v>
      </c>
      <c r="J51" s="299">
        <f>'ตารางที่ 8 ส่ง'!J51</f>
        <v>2548604910.4400001</v>
      </c>
      <c r="K51" s="299">
        <f>'ตารางที่ 8 ส่ง'!K51</f>
        <v>5263197.2</v>
      </c>
      <c r="L51" s="299">
        <f>'ตารางที่ 8 ส่ง'!L51</f>
        <v>97396995.419999987</v>
      </c>
      <c r="M51" s="299">
        <f>'ตารางที่ 8 ส่ง'!M51</f>
        <v>297148778.58999991</v>
      </c>
      <c r="N51" s="299">
        <f>SUM(J51:M51)</f>
        <v>2948413881.6499996</v>
      </c>
      <c r="O51" s="395">
        <f>SUM(O16:O50)</f>
        <v>4952816</v>
      </c>
      <c r="P51" s="330"/>
      <c r="Q51" s="49">
        <f>N51/O51</f>
        <v>595.30050816545565</v>
      </c>
      <c r="R51" s="402">
        <f>(N51-F51)*100/F51</f>
        <v>27.810512079079498</v>
      </c>
      <c r="S51" s="402">
        <f t="shared" ref="S51" si="25">(O51-G51)*100/G51</f>
        <v>16.061976070145001</v>
      </c>
      <c r="T51" s="402">
        <f>(Q51-I51)*100/I51</f>
        <v>10.122639995233193</v>
      </c>
    </row>
  </sheetData>
  <mergeCells count="20">
    <mergeCell ref="A1:T1"/>
    <mergeCell ref="A2:T2"/>
    <mergeCell ref="A3:T3"/>
    <mergeCell ref="A4:T4"/>
    <mergeCell ref="A8:I8"/>
    <mergeCell ref="J8:Q8"/>
    <mergeCell ref="R8:T8"/>
    <mergeCell ref="G21:G22"/>
    <mergeCell ref="H21:H22"/>
    <mergeCell ref="R21:R22"/>
    <mergeCell ref="S21:S22"/>
    <mergeCell ref="T21:T22"/>
    <mergeCell ref="Q21:Q22"/>
    <mergeCell ref="P21:P22"/>
    <mergeCell ref="J21:J22"/>
    <mergeCell ref="K21:K22"/>
    <mergeCell ref="L21:L22"/>
    <mergeCell ref="M21:M22"/>
    <mergeCell ref="N21:N22"/>
    <mergeCell ref="O21:O22"/>
  </mergeCells>
  <pageMargins left="0.9055118110236221" right="0.70866141732283472" top="0.55118110236220474" bottom="0.15748031496062992" header="0.31496062992125984" footer="0.31496062992125984"/>
  <pageSetup paperSize="5" scale="45" orientation="landscape" r:id="rId1"/>
  <headerFooter>
    <oddHeader>&amp;R12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V44"/>
  <sheetViews>
    <sheetView topLeftCell="A7" workbookViewId="0">
      <pane xSplit="1" ySplit="8" topLeftCell="P28" activePane="bottomRight" state="frozen"/>
      <selection activeCell="A7" sqref="A7"/>
      <selection pane="topRight" activeCell="B7" sqref="B7"/>
      <selection pane="bottomLeft" activeCell="A15" sqref="A15"/>
      <selection pane="bottomRight" activeCell="R32" sqref="R32:T33"/>
    </sheetView>
  </sheetViews>
  <sheetFormatPr defaultColWidth="34.59765625" defaultRowHeight="21" x14ac:dyDescent="0.4"/>
  <cols>
    <col min="1" max="1" width="57.296875" style="47" customWidth="1"/>
    <col min="2" max="2" width="16.5" style="47" customWidth="1"/>
    <col min="3" max="3" width="16.296875" style="47" customWidth="1"/>
    <col min="4" max="4" width="17.8984375" style="47" customWidth="1"/>
    <col min="5" max="5" width="15.19921875" style="47" bestFit="1" customWidth="1"/>
    <col min="6" max="6" width="16.796875" style="47" bestFit="1" customWidth="1"/>
    <col min="7" max="7" width="12.796875" style="47" customWidth="1"/>
    <col min="8" max="8" width="6.59765625" style="47" bestFit="1" customWidth="1"/>
    <col min="9" max="9" width="11.3984375" style="47" customWidth="1"/>
    <col min="10" max="10" width="16.796875" style="47" bestFit="1" customWidth="1"/>
    <col min="11" max="11" width="14.09765625" style="47" bestFit="1" customWidth="1"/>
    <col min="12" max="13" width="15.19921875" style="47" bestFit="1" customWidth="1"/>
    <col min="14" max="14" width="16.796875" style="47" bestFit="1" customWidth="1"/>
    <col min="15" max="15" width="12.69921875" style="47" customWidth="1"/>
    <col min="16" max="16" width="12.796875" style="436" customWidth="1"/>
    <col min="17" max="18" width="13.296875" style="47" customWidth="1"/>
    <col min="19" max="19" width="11.69921875" style="47" customWidth="1"/>
    <col min="20" max="20" width="11.8984375" style="47" customWidth="1"/>
    <col min="21" max="21" width="17.3984375" style="47" customWidth="1"/>
    <col min="22" max="22" width="8.8984375" style="47" bestFit="1" customWidth="1"/>
    <col min="23" max="256" width="34.59765625" style="47"/>
    <col min="257" max="257" width="57.296875" style="47" customWidth="1"/>
    <col min="258" max="258" width="16.5" style="47" customWidth="1"/>
    <col min="259" max="259" width="13.8984375" style="47" customWidth="1"/>
    <col min="260" max="260" width="17.8984375" style="47" customWidth="1"/>
    <col min="261" max="261" width="15.19921875" style="47" bestFit="1" customWidth="1"/>
    <col min="262" max="262" width="16.796875" style="47" bestFit="1" customWidth="1"/>
    <col min="263" max="263" width="13.09765625" style="47" bestFit="1" customWidth="1"/>
    <col min="264" max="264" width="6.59765625" style="47" bestFit="1" customWidth="1"/>
    <col min="265" max="265" width="13.796875" style="47" customWidth="1"/>
    <col min="266" max="266" width="16.796875" style="47" bestFit="1" customWidth="1"/>
    <col min="267" max="267" width="14.09765625" style="47" bestFit="1" customWidth="1"/>
    <col min="268" max="269" width="15.19921875" style="47" bestFit="1" customWidth="1"/>
    <col min="270" max="270" width="16.796875" style="47" bestFit="1" customWidth="1"/>
    <col min="271" max="271" width="13.3984375" style="47" customWidth="1"/>
    <col min="272" max="272" width="9.296875" style="47" customWidth="1"/>
    <col min="273" max="273" width="13.796875" style="47" customWidth="1"/>
    <col min="274" max="274" width="12.8984375" style="47" customWidth="1"/>
    <col min="275" max="275" width="13.09765625" style="47" customWidth="1"/>
    <col min="276" max="276" width="12.8984375" style="47" customWidth="1"/>
    <col min="277" max="277" width="17.3984375" style="47" customWidth="1"/>
    <col min="278" max="278" width="8.8984375" style="47" bestFit="1" customWidth="1"/>
    <col min="279" max="512" width="34.59765625" style="47"/>
    <col min="513" max="513" width="57.296875" style="47" customWidth="1"/>
    <col min="514" max="514" width="16.5" style="47" customWidth="1"/>
    <col min="515" max="515" width="13.8984375" style="47" customWidth="1"/>
    <col min="516" max="516" width="17.8984375" style="47" customWidth="1"/>
    <col min="517" max="517" width="15.19921875" style="47" bestFit="1" customWidth="1"/>
    <col min="518" max="518" width="16.796875" style="47" bestFit="1" customWidth="1"/>
    <col min="519" max="519" width="13.09765625" style="47" bestFit="1" customWidth="1"/>
    <col min="520" max="520" width="6.59765625" style="47" bestFit="1" customWidth="1"/>
    <col min="521" max="521" width="13.796875" style="47" customWidth="1"/>
    <col min="522" max="522" width="16.796875" style="47" bestFit="1" customWidth="1"/>
    <col min="523" max="523" width="14.09765625" style="47" bestFit="1" customWidth="1"/>
    <col min="524" max="525" width="15.19921875" style="47" bestFit="1" customWidth="1"/>
    <col min="526" max="526" width="16.796875" style="47" bestFit="1" customWidth="1"/>
    <col min="527" max="527" width="13.3984375" style="47" customWidth="1"/>
    <col min="528" max="528" width="9.296875" style="47" customWidth="1"/>
    <col min="529" max="529" width="13.796875" style="47" customWidth="1"/>
    <col min="530" max="530" width="12.8984375" style="47" customWidth="1"/>
    <col min="531" max="531" width="13.09765625" style="47" customWidth="1"/>
    <col min="532" max="532" width="12.8984375" style="47" customWidth="1"/>
    <col min="533" max="533" width="17.3984375" style="47" customWidth="1"/>
    <col min="534" max="534" width="8.8984375" style="47" bestFit="1" customWidth="1"/>
    <col min="535" max="768" width="34.59765625" style="47"/>
    <col min="769" max="769" width="57.296875" style="47" customWidth="1"/>
    <col min="770" max="770" width="16.5" style="47" customWidth="1"/>
    <col min="771" max="771" width="13.8984375" style="47" customWidth="1"/>
    <col min="772" max="772" width="17.8984375" style="47" customWidth="1"/>
    <col min="773" max="773" width="15.19921875" style="47" bestFit="1" customWidth="1"/>
    <col min="774" max="774" width="16.796875" style="47" bestFit="1" customWidth="1"/>
    <col min="775" max="775" width="13.09765625" style="47" bestFit="1" customWidth="1"/>
    <col min="776" max="776" width="6.59765625" style="47" bestFit="1" customWidth="1"/>
    <col min="777" max="777" width="13.796875" style="47" customWidth="1"/>
    <col min="778" max="778" width="16.796875" style="47" bestFit="1" customWidth="1"/>
    <col min="779" max="779" width="14.09765625" style="47" bestFit="1" customWidth="1"/>
    <col min="780" max="781" width="15.19921875" style="47" bestFit="1" customWidth="1"/>
    <col min="782" max="782" width="16.796875" style="47" bestFit="1" customWidth="1"/>
    <col min="783" max="783" width="13.3984375" style="47" customWidth="1"/>
    <col min="784" max="784" width="9.296875" style="47" customWidth="1"/>
    <col min="785" max="785" width="13.796875" style="47" customWidth="1"/>
    <col min="786" max="786" width="12.8984375" style="47" customWidth="1"/>
    <col min="787" max="787" width="13.09765625" style="47" customWidth="1"/>
    <col min="788" max="788" width="12.8984375" style="47" customWidth="1"/>
    <col min="789" max="789" width="17.3984375" style="47" customWidth="1"/>
    <col min="790" max="790" width="8.8984375" style="47" bestFit="1" customWidth="1"/>
    <col min="791" max="1024" width="34.59765625" style="47"/>
    <col min="1025" max="1025" width="57.296875" style="47" customWidth="1"/>
    <col min="1026" max="1026" width="16.5" style="47" customWidth="1"/>
    <col min="1027" max="1027" width="13.8984375" style="47" customWidth="1"/>
    <col min="1028" max="1028" width="17.8984375" style="47" customWidth="1"/>
    <col min="1029" max="1029" width="15.19921875" style="47" bestFit="1" customWidth="1"/>
    <col min="1030" max="1030" width="16.796875" style="47" bestFit="1" customWidth="1"/>
    <col min="1031" max="1031" width="13.09765625" style="47" bestFit="1" customWidth="1"/>
    <col min="1032" max="1032" width="6.59765625" style="47" bestFit="1" customWidth="1"/>
    <col min="1033" max="1033" width="13.796875" style="47" customWidth="1"/>
    <col min="1034" max="1034" width="16.796875" style="47" bestFit="1" customWidth="1"/>
    <col min="1035" max="1035" width="14.09765625" style="47" bestFit="1" customWidth="1"/>
    <col min="1036" max="1037" width="15.19921875" style="47" bestFit="1" customWidth="1"/>
    <col min="1038" max="1038" width="16.796875" style="47" bestFit="1" customWidth="1"/>
    <col min="1039" max="1039" width="13.3984375" style="47" customWidth="1"/>
    <col min="1040" max="1040" width="9.296875" style="47" customWidth="1"/>
    <col min="1041" max="1041" width="13.796875" style="47" customWidth="1"/>
    <col min="1042" max="1042" width="12.8984375" style="47" customWidth="1"/>
    <col min="1043" max="1043" width="13.09765625" style="47" customWidth="1"/>
    <col min="1044" max="1044" width="12.8984375" style="47" customWidth="1"/>
    <col min="1045" max="1045" width="17.3984375" style="47" customWidth="1"/>
    <col min="1046" max="1046" width="8.8984375" style="47" bestFit="1" customWidth="1"/>
    <col min="1047" max="1280" width="34.59765625" style="47"/>
    <col min="1281" max="1281" width="57.296875" style="47" customWidth="1"/>
    <col min="1282" max="1282" width="16.5" style="47" customWidth="1"/>
    <col min="1283" max="1283" width="13.8984375" style="47" customWidth="1"/>
    <col min="1284" max="1284" width="17.8984375" style="47" customWidth="1"/>
    <col min="1285" max="1285" width="15.19921875" style="47" bestFit="1" customWidth="1"/>
    <col min="1286" max="1286" width="16.796875" style="47" bestFit="1" customWidth="1"/>
    <col min="1287" max="1287" width="13.09765625" style="47" bestFit="1" customWidth="1"/>
    <col min="1288" max="1288" width="6.59765625" style="47" bestFit="1" customWidth="1"/>
    <col min="1289" max="1289" width="13.796875" style="47" customWidth="1"/>
    <col min="1290" max="1290" width="16.796875" style="47" bestFit="1" customWidth="1"/>
    <col min="1291" max="1291" width="14.09765625" style="47" bestFit="1" customWidth="1"/>
    <col min="1292" max="1293" width="15.19921875" style="47" bestFit="1" customWidth="1"/>
    <col min="1294" max="1294" width="16.796875" style="47" bestFit="1" customWidth="1"/>
    <col min="1295" max="1295" width="13.3984375" style="47" customWidth="1"/>
    <col min="1296" max="1296" width="9.296875" style="47" customWidth="1"/>
    <col min="1297" max="1297" width="13.796875" style="47" customWidth="1"/>
    <col min="1298" max="1298" width="12.8984375" style="47" customWidth="1"/>
    <col min="1299" max="1299" width="13.09765625" style="47" customWidth="1"/>
    <col min="1300" max="1300" width="12.8984375" style="47" customWidth="1"/>
    <col min="1301" max="1301" width="17.3984375" style="47" customWidth="1"/>
    <col min="1302" max="1302" width="8.8984375" style="47" bestFit="1" customWidth="1"/>
    <col min="1303" max="1536" width="34.59765625" style="47"/>
    <col min="1537" max="1537" width="57.296875" style="47" customWidth="1"/>
    <col min="1538" max="1538" width="16.5" style="47" customWidth="1"/>
    <col min="1539" max="1539" width="13.8984375" style="47" customWidth="1"/>
    <col min="1540" max="1540" width="17.8984375" style="47" customWidth="1"/>
    <col min="1541" max="1541" width="15.19921875" style="47" bestFit="1" customWidth="1"/>
    <col min="1542" max="1542" width="16.796875" style="47" bestFit="1" customWidth="1"/>
    <col min="1543" max="1543" width="13.09765625" style="47" bestFit="1" customWidth="1"/>
    <col min="1544" max="1544" width="6.59765625" style="47" bestFit="1" customWidth="1"/>
    <col min="1545" max="1545" width="13.796875" style="47" customWidth="1"/>
    <col min="1546" max="1546" width="16.796875" style="47" bestFit="1" customWidth="1"/>
    <col min="1547" max="1547" width="14.09765625" style="47" bestFit="1" customWidth="1"/>
    <col min="1548" max="1549" width="15.19921875" style="47" bestFit="1" customWidth="1"/>
    <col min="1550" max="1550" width="16.796875" style="47" bestFit="1" customWidth="1"/>
    <col min="1551" max="1551" width="13.3984375" style="47" customWidth="1"/>
    <col min="1552" max="1552" width="9.296875" style="47" customWidth="1"/>
    <col min="1553" max="1553" width="13.796875" style="47" customWidth="1"/>
    <col min="1554" max="1554" width="12.8984375" style="47" customWidth="1"/>
    <col min="1555" max="1555" width="13.09765625" style="47" customWidth="1"/>
    <col min="1556" max="1556" width="12.8984375" style="47" customWidth="1"/>
    <col min="1557" max="1557" width="17.3984375" style="47" customWidth="1"/>
    <col min="1558" max="1558" width="8.8984375" style="47" bestFit="1" customWidth="1"/>
    <col min="1559" max="1792" width="34.59765625" style="47"/>
    <col min="1793" max="1793" width="57.296875" style="47" customWidth="1"/>
    <col min="1794" max="1794" width="16.5" style="47" customWidth="1"/>
    <col min="1795" max="1795" width="13.8984375" style="47" customWidth="1"/>
    <col min="1796" max="1796" width="17.8984375" style="47" customWidth="1"/>
    <col min="1797" max="1797" width="15.19921875" style="47" bestFit="1" customWidth="1"/>
    <col min="1798" max="1798" width="16.796875" style="47" bestFit="1" customWidth="1"/>
    <col min="1799" max="1799" width="13.09765625" style="47" bestFit="1" customWidth="1"/>
    <col min="1800" max="1800" width="6.59765625" style="47" bestFit="1" customWidth="1"/>
    <col min="1801" max="1801" width="13.796875" style="47" customWidth="1"/>
    <col min="1802" max="1802" width="16.796875" style="47" bestFit="1" customWidth="1"/>
    <col min="1803" max="1803" width="14.09765625" style="47" bestFit="1" customWidth="1"/>
    <col min="1804" max="1805" width="15.19921875" style="47" bestFit="1" customWidth="1"/>
    <col min="1806" max="1806" width="16.796875" style="47" bestFit="1" customWidth="1"/>
    <col min="1807" max="1807" width="13.3984375" style="47" customWidth="1"/>
    <col min="1808" max="1808" width="9.296875" style="47" customWidth="1"/>
    <col min="1809" max="1809" width="13.796875" style="47" customWidth="1"/>
    <col min="1810" max="1810" width="12.8984375" style="47" customWidth="1"/>
    <col min="1811" max="1811" width="13.09765625" style="47" customWidth="1"/>
    <col min="1812" max="1812" width="12.8984375" style="47" customWidth="1"/>
    <col min="1813" max="1813" width="17.3984375" style="47" customWidth="1"/>
    <col min="1814" max="1814" width="8.8984375" style="47" bestFit="1" customWidth="1"/>
    <col min="1815" max="2048" width="34.59765625" style="47"/>
    <col min="2049" max="2049" width="57.296875" style="47" customWidth="1"/>
    <col min="2050" max="2050" width="16.5" style="47" customWidth="1"/>
    <col min="2051" max="2051" width="13.8984375" style="47" customWidth="1"/>
    <col min="2052" max="2052" width="17.8984375" style="47" customWidth="1"/>
    <col min="2053" max="2053" width="15.19921875" style="47" bestFit="1" customWidth="1"/>
    <col min="2054" max="2054" width="16.796875" style="47" bestFit="1" customWidth="1"/>
    <col min="2055" max="2055" width="13.09765625" style="47" bestFit="1" customWidth="1"/>
    <col min="2056" max="2056" width="6.59765625" style="47" bestFit="1" customWidth="1"/>
    <col min="2057" max="2057" width="13.796875" style="47" customWidth="1"/>
    <col min="2058" max="2058" width="16.796875" style="47" bestFit="1" customWidth="1"/>
    <col min="2059" max="2059" width="14.09765625" style="47" bestFit="1" customWidth="1"/>
    <col min="2060" max="2061" width="15.19921875" style="47" bestFit="1" customWidth="1"/>
    <col min="2062" max="2062" width="16.796875" style="47" bestFit="1" customWidth="1"/>
    <col min="2063" max="2063" width="13.3984375" style="47" customWidth="1"/>
    <col min="2064" max="2064" width="9.296875" style="47" customWidth="1"/>
    <col min="2065" max="2065" width="13.796875" style="47" customWidth="1"/>
    <col min="2066" max="2066" width="12.8984375" style="47" customWidth="1"/>
    <col min="2067" max="2067" width="13.09765625" style="47" customWidth="1"/>
    <col min="2068" max="2068" width="12.8984375" style="47" customWidth="1"/>
    <col min="2069" max="2069" width="17.3984375" style="47" customWidth="1"/>
    <col min="2070" max="2070" width="8.8984375" style="47" bestFit="1" customWidth="1"/>
    <col min="2071" max="2304" width="34.59765625" style="47"/>
    <col min="2305" max="2305" width="57.296875" style="47" customWidth="1"/>
    <col min="2306" max="2306" width="16.5" style="47" customWidth="1"/>
    <col min="2307" max="2307" width="13.8984375" style="47" customWidth="1"/>
    <col min="2308" max="2308" width="17.8984375" style="47" customWidth="1"/>
    <col min="2309" max="2309" width="15.19921875" style="47" bestFit="1" customWidth="1"/>
    <col min="2310" max="2310" width="16.796875" style="47" bestFit="1" customWidth="1"/>
    <col min="2311" max="2311" width="13.09765625" style="47" bestFit="1" customWidth="1"/>
    <col min="2312" max="2312" width="6.59765625" style="47" bestFit="1" customWidth="1"/>
    <col min="2313" max="2313" width="13.796875" style="47" customWidth="1"/>
    <col min="2314" max="2314" width="16.796875" style="47" bestFit="1" customWidth="1"/>
    <col min="2315" max="2315" width="14.09765625" style="47" bestFit="1" customWidth="1"/>
    <col min="2316" max="2317" width="15.19921875" style="47" bestFit="1" customWidth="1"/>
    <col min="2318" max="2318" width="16.796875" style="47" bestFit="1" customWidth="1"/>
    <col min="2319" max="2319" width="13.3984375" style="47" customWidth="1"/>
    <col min="2320" max="2320" width="9.296875" style="47" customWidth="1"/>
    <col min="2321" max="2321" width="13.796875" style="47" customWidth="1"/>
    <col min="2322" max="2322" width="12.8984375" style="47" customWidth="1"/>
    <col min="2323" max="2323" width="13.09765625" style="47" customWidth="1"/>
    <col min="2324" max="2324" width="12.8984375" style="47" customWidth="1"/>
    <col min="2325" max="2325" width="17.3984375" style="47" customWidth="1"/>
    <col min="2326" max="2326" width="8.8984375" style="47" bestFit="1" customWidth="1"/>
    <col min="2327" max="2560" width="34.59765625" style="47"/>
    <col min="2561" max="2561" width="57.296875" style="47" customWidth="1"/>
    <col min="2562" max="2562" width="16.5" style="47" customWidth="1"/>
    <col min="2563" max="2563" width="13.8984375" style="47" customWidth="1"/>
    <col min="2564" max="2564" width="17.8984375" style="47" customWidth="1"/>
    <col min="2565" max="2565" width="15.19921875" style="47" bestFit="1" customWidth="1"/>
    <col min="2566" max="2566" width="16.796875" style="47" bestFit="1" customWidth="1"/>
    <col min="2567" max="2567" width="13.09765625" style="47" bestFit="1" customWidth="1"/>
    <col min="2568" max="2568" width="6.59765625" style="47" bestFit="1" customWidth="1"/>
    <col min="2569" max="2569" width="13.796875" style="47" customWidth="1"/>
    <col min="2570" max="2570" width="16.796875" style="47" bestFit="1" customWidth="1"/>
    <col min="2571" max="2571" width="14.09765625" style="47" bestFit="1" customWidth="1"/>
    <col min="2572" max="2573" width="15.19921875" style="47" bestFit="1" customWidth="1"/>
    <col min="2574" max="2574" width="16.796875" style="47" bestFit="1" customWidth="1"/>
    <col min="2575" max="2575" width="13.3984375" style="47" customWidth="1"/>
    <col min="2576" max="2576" width="9.296875" style="47" customWidth="1"/>
    <col min="2577" max="2577" width="13.796875" style="47" customWidth="1"/>
    <col min="2578" max="2578" width="12.8984375" style="47" customWidth="1"/>
    <col min="2579" max="2579" width="13.09765625" style="47" customWidth="1"/>
    <col min="2580" max="2580" width="12.8984375" style="47" customWidth="1"/>
    <col min="2581" max="2581" width="17.3984375" style="47" customWidth="1"/>
    <col min="2582" max="2582" width="8.8984375" style="47" bestFit="1" customWidth="1"/>
    <col min="2583" max="2816" width="34.59765625" style="47"/>
    <col min="2817" max="2817" width="57.296875" style="47" customWidth="1"/>
    <col min="2818" max="2818" width="16.5" style="47" customWidth="1"/>
    <col min="2819" max="2819" width="13.8984375" style="47" customWidth="1"/>
    <col min="2820" max="2820" width="17.8984375" style="47" customWidth="1"/>
    <col min="2821" max="2821" width="15.19921875" style="47" bestFit="1" customWidth="1"/>
    <col min="2822" max="2822" width="16.796875" style="47" bestFit="1" customWidth="1"/>
    <col min="2823" max="2823" width="13.09765625" style="47" bestFit="1" customWidth="1"/>
    <col min="2824" max="2824" width="6.59765625" style="47" bestFit="1" customWidth="1"/>
    <col min="2825" max="2825" width="13.796875" style="47" customWidth="1"/>
    <col min="2826" max="2826" width="16.796875" style="47" bestFit="1" customWidth="1"/>
    <col min="2827" max="2827" width="14.09765625" style="47" bestFit="1" customWidth="1"/>
    <col min="2828" max="2829" width="15.19921875" style="47" bestFit="1" customWidth="1"/>
    <col min="2830" max="2830" width="16.796875" style="47" bestFit="1" customWidth="1"/>
    <col min="2831" max="2831" width="13.3984375" style="47" customWidth="1"/>
    <col min="2832" max="2832" width="9.296875" style="47" customWidth="1"/>
    <col min="2833" max="2833" width="13.796875" style="47" customWidth="1"/>
    <col min="2834" max="2834" width="12.8984375" style="47" customWidth="1"/>
    <col min="2835" max="2835" width="13.09765625" style="47" customWidth="1"/>
    <col min="2836" max="2836" width="12.8984375" style="47" customWidth="1"/>
    <col min="2837" max="2837" width="17.3984375" style="47" customWidth="1"/>
    <col min="2838" max="2838" width="8.8984375" style="47" bestFit="1" customWidth="1"/>
    <col min="2839" max="3072" width="34.59765625" style="47"/>
    <col min="3073" max="3073" width="57.296875" style="47" customWidth="1"/>
    <col min="3074" max="3074" width="16.5" style="47" customWidth="1"/>
    <col min="3075" max="3075" width="13.8984375" style="47" customWidth="1"/>
    <col min="3076" max="3076" width="17.8984375" style="47" customWidth="1"/>
    <col min="3077" max="3077" width="15.19921875" style="47" bestFit="1" customWidth="1"/>
    <col min="3078" max="3078" width="16.796875" style="47" bestFit="1" customWidth="1"/>
    <col min="3079" max="3079" width="13.09765625" style="47" bestFit="1" customWidth="1"/>
    <col min="3080" max="3080" width="6.59765625" style="47" bestFit="1" customWidth="1"/>
    <col min="3081" max="3081" width="13.796875" style="47" customWidth="1"/>
    <col min="3082" max="3082" width="16.796875" style="47" bestFit="1" customWidth="1"/>
    <col min="3083" max="3083" width="14.09765625" style="47" bestFit="1" customWidth="1"/>
    <col min="3084" max="3085" width="15.19921875" style="47" bestFit="1" customWidth="1"/>
    <col min="3086" max="3086" width="16.796875" style="47" bestFit="1" customWidth="1"/>
    <col min="3087" max="3087" width="13.3984375" style="47" customWidth="1"/>
    <col min="3088" max="3088" width="9.296875" style="47" customWidth="1"/>
    <col min="3089" max="3089" width="13.796875" style="47" customWidth="1"/>
    <col min="3090" max="3090" width="12.8984375" style="47" customWidth="1"/>
    <col min="3091" max="3091" width="13.09765625" style="47" customWidth="1"/>
    <col min="3092" max="3092" width="12.8984375" style="47" customWidth="1"/>
    <col min="3093" max="3093" width="17.3984375" style="47" customWidth="1"/>
    <col min="3094" max="3094" width="8.8984375" style="47" bestFit="1" customWidth="1"/>
    <col min="3095" max="3328" width="34.59765625" style="47"/>
    <col min="3329" max="3329" width="57.296875" style="47" customWidth="1"/>
    <col min="3330" max="3330" width="16.5" style="47" customWidth="1"/>
    <col min="3331" max="3331" width="13.8984375" style="47" customWidth="1"/>
    <col min="3332" max="3332" width="17.8984375" style="47" customWidth="1"/>
    <col min="3333" max="3333" width="15.19921875" style="47" bestFit="1" customWidth="1"/>
    <col min="3334" max="3334" width="16.796875" style="47" bestFit="1" customWidth="1"/>
    <col min="3335" max="3335" width="13.09765625" style="47" bestFit="1" customWidth="1"/>
    <col min="3336" max="3336" width="6.59765625" style="47" bestFit="1" customWidth="1"/>
    <col min="3337" max="3337" width="13.796875" style="47" customWidth="1"/>
    <col min="3338" max="3338" width="16.796875" style="47" bestFit="1" customWidth="1"/>
    <col min="3339" max="3339" width="14.09765625" style="47" bestFit="1" customWidth="1"/>
    <col min="3340" max="3341" width="15.19921875" style="47" bestFit="1" customWidth="1"/>
    <col min="3342" max="3342" width="16.796875" style="47" bestFit="1" customWidth="1"/>
    <col min="3343" max="3343" width="13.3984375" style="47" customWidth="1"/>
    <col min="3344" max="3344" width="9.296875" style="47" customWidth="1"/>
    <col min="3345" max="3345" width="13.796875" style="47" customWidth="1"/>
    <col min="3346" max="3346" width="12.8984375" style="47" customWidth="1"/>
    <col min="3347" max="3347" width="13.09765625" style="47" customWidth="1"/>
    <col min="3348" max="3348" width="12.8984375" style="47" customWidth="1"/>
    <col min="3349" max="3349" width="17.3984375" style="47" customWidth="1"/>
    <col min="3350" max="3350" width="8.8984375" style="47" bestFit="1" customWidth="1"/>
    <col min="3351" max="3584" width="34.59765625" style="47"/>
    <col min="3585" max="3585" width="57.296875" style="47" customWidth="1"/>
    <col min="3586" max="3586" width="16.5" style="47" customWidth="1"/>
    <col min="3587" max="3587" width="13.8984375" style="47" customWidth="1"/>
    <col min="3588" max="3588" width="17.8984375" style="47" customWidth="1"/>
    <col min="3589" max="3589" width="15.19921875" style="47" bestFit="1" customWidth="1"/>
    <col min="3590" max="3590" width="16.796875" style="47" bestFit="1" customWidth="1"/>
    <col min="3591" max="3591" width="13.09765625" style="47" bestFit="1" customWidth="1"/>
    <col min="3592" max="3592" width="6.59765625" style="47" bestFit="1" customWidth="1"/>
    <col min="3593" max="3593" width="13.796875" style="47" customWidth="1"/>
    <col min="3594" max="3594" width="16.796875" style="47" bestFit="1" customWidth="1"/>
    <col min="3595" max="3595" width="14.09765625" style="47" bestFit="1" customWidth="1"/>
    <col min="3596" max="3597" width="15.19921875" style="47" bestFit="1" customWidth="1"/>
    <col min="3598" max="3598" width="16.796875" style="47" bestFit="1" customWidth="1"/>
    <col min="3599" max="3599" width="13.3984375" style="47" customWidth="1"/>
    <col min="3600" max="3600" width="9.296875" style="47" customWidth="1"/>
    <col min="3601" max="3601" width="13.796875" style="47" customWidth="1"/>
    <col min="3602" max="3602" width="12.8984375" style="47" customWidth="1"/>
    <col min="3603" max="3603" width="13.09765625" style="47" customWidth="1"/>
    <col min="3604" max="3604" width="12.8984375" style="47" customWidth="1"/>
    <col min="3605" max="3605" width="17.3984375" style="47" customWidth="1"/>
    <col min="3606" max="3606" width="8.8984375" style="47" bestFit="1" customWidth="1"/>
    <col min="3607" max="3840" width="34.59765625" style="47"/>
    <col min="3841" max="3841" width="57.296875" style="47" customWidth="1"/>
    <col min="3842" max="3842" width="16.5" style="47" customWidth="1"/>
    <col min="3843" max="3843" width="13.8984375" style="47" customWidth="1"/>
    <col min="3844" max="3844" width="17.8984375" style="47" customWidth="1"/>
    <col min="3845" max="3845" width="15.19921875" style="47" bestFit="1" customWidth="1"/>
    <col min="3846" max="3846" width="16.796875" style="47" bestFit="1" customWidth="1"/>
    <col min="3847" max="3847" width="13.09765625" style="47" bestFit="1" customWidth="1"/>
    <col min="3848" max="3848" width="6.59765625" style="47" bestFit="1" customWidth="1"/>
    <col min="3849" max="3849" width="13.796875" style="47" customWidth="1"/>
    <col min="3850" max="3850" width="16.796875" style="47" bestFit="1" customWidth="1"/>
    <col min="3851" max="3851" width="14.09765625" style="47" bestFit="1" customWidth="1"/>
    <col min="3852" max="3853" width="15.19921875" style="47" bestFit="1" customWidth="1"/>
    <col min="3854" max="3854" width="16.796875" style="47" bestFit="1" customWidth="1"/>
    <col min="3855" max="3855" width="13.3984375" style="47" customWidth="1"/>
    <col min="3856" max="3856" width="9.296875" style="47" customWidth="1"/>
    <col min="3857" max="3857" width="13.796875" style="47" customWidth="1"/>
    <col min="3858" max="3858" width="12.8984375" style="47" customWidth="1"/>
    <col min="3859" max="3859" width="13.09765625" style="47" customWidth="1"/>
    <col min="3860" max="3860" width="12.8984375" style="47" customWidth="1"/>
    <col min="3861" max="3861" width="17.3984375" style="47" customWidth="1"/>
    <col min="3862" max="3862" width="8.8984375" style="47" bestFit="1" customWidth="1"/>
    <col min="3863" max="4096" width="34.59765625" style="47"/>
    <col min="4097" max="4097" width="57.296875" style="47" customWidth="1"/>
    <col min="4098" max="4098" width="16.5" style="47" customWidth="1"/>
    <col min="4099" max="4099" width="13.8984375" style="47" customWidth="1"/>
    <col min="4100" max="4100" width="17.8984375" style="47" customWidth="1"/>
    <col min="4101" max="4101" width="15.19921875" style="47" bestFit="1" customWidth="1"/>
    <col min="4102" max="4102" width="16.796875" style="47" bestFit="1" customWidth="1"/>
    <col min="4103" max="4103" width="13.09765625" style="47" bestFit="1" customWidth="1"/>
    <col min="4104" max="4104" width="6.59765625" style="47" bestFit="1" customWidth="1"/>
    <col min="4105" max="4105" width="13.796875" style="47" customWidth="1"/>
    <col min="4106" max="4106" width="16.796875" style="47" bestFit="1" customWidth="1"/>
    <col min="4107" max="4107" width="14.09765625" style="47" bestFit="1" customWidth="1"/>
    <col min="4108" max="4109" width="15.19921875" style="47" bestFit="1" customWidth="1"/>
    <col min="4110" max="4110" width="16.796875" style="47" bestFit="1" customWidth="1"/>
    <col min="4111" max="4111" width="13.3984375" style="47" customWidth="1"/>
    <col min="4112" max="4112" width="9.296875" style="47" customWidth="1"/>
    <col min="4113" max="4113" width="13.796875" style="47" customWidth="1"/>
    <col min="4114" max="4114" width="12.8984375" style="47" customWidth="1"/>
    <col min="4115" max="4115" width="13.09765625" style="47" customWidth="1"/>
    <col min="4116" max="4116" width="12.8984375" style="47" customWidth="1"/>
    <col min="4117" max="4117" width="17.3984375" style="47" customWidth="1"/>
    <col min="4118" max="4118" width="8.8984375" style="47" bestFit="1" customWidth="1"/>
    <col min="4119" max="4352" width="34.59765625" style="47"/>
    <col min="4353" max="4353" width="57.296875" style="47" customWidth="1"/>
    <col min="4354" max="4354" width="16.5" style="47" customWidth="1"/>
    <col min="4355" max="4355" width="13.8984375" style="47" customWidth="1"/>
    <col min="4356" max="4356" width="17.8984375" style="47" customWidth="1"/>
    <col min="4357" max="4357" width="15.19921875" style="47" bestFit="1" customWidth="1"/>
    <col min="4358" max="4358" width="16.796875" style="47" bestFit="1" customWidth="1"/>
    <col min="4359" max="4359" width="13.09765625" style="47" bestFit="1" customWidth="1"/>
    <col min="4360" max="4360" width="6.59765625" style="47" bestFit="1" customWidth="1"/>
    <col min="4361" max="4361" width="13.796875" style="47" customWidth="1"/>
    <col min="4362" max="4362" width="16.796875" style="47" bestFit="1" customWidth="1"/>
    <col min="4363" max="4363" width="14.09765625" style="47" bestFit="1" customWidth="1"/>
    <col min="4364" max="4365" width="15.19921875" style="47" bestFit="1" customWidth="1"/>
    <col min="4366" max="4366" width="16.796875" style="47" bestFit="1" customWidth="1"/>
    <col min="4367" max="4367" width="13.3984375" style="47" customWidth="1"/>
    <col min="4368" max="4368" width="9.296875" style="47" customWidth="1"/>
    <col min="4369" max="4369" width="13.796875" style="47" customWidth="1"/>
    <col min="4370" max="4370" width="12.8984375" style="47" customWidth="1"/>
    <col min="4371" max="4371" width="13.09765625" style="47" customWidth="1"/>
    <col min="4372" max="4372" width="12.8984375" style="47" customWidth="1"/>
    <col min="4373" max="4373" width="17.3984375" style="47" customWidth="1"/>
    <col min="4374" max="4374" width="8.8984375" style="47" bestFit="1" customWidth="1"/>
    <col min="4375" max="4608" width="34.59765625" style="47"/>
    <col min="4609" max="4609" width="57.296875" style="47" customWidth="1"/>
    <col min="4610" max="4610" width="16.5" style="47" customWidth="1"/>
    <col min="4611" max="4611" width="13.8984375" style="47" customWidth="1"/>
    <col min="4612" max="4612" width="17.8984375" style="47" customWidth="1"/>
    <col min="4613" max="4613" width="15.19921875" style="47" bestFit="1" customWidth="1"/>
    <col min="4614" max="4614" width="16.796875" style="47" bestFit="1" customWidth="1"/>
    <col min="4615" max="4615" width="13.09765625" style="47" bestFit="1" customWidth="1"/>
    <col min="4616" max="4616" width="6.59765625" style="47" bestFit="1" customWidth="1"/>
    <col min="4617" max="4617" width="13.796875" style="47" customWidth="1"/>
    <col min="4618" max="4618" width="16.796875" style="47" bestFit="1" customWidth="1"/>
    <col min="4619" max="4619" width="14.09765625" style="47" bestFit="1" customWidth="1"/>
    <col min="4620" max="4621" width="15.19921875" style="47" bestFit="1" customWidth="1"/>
    <col min="4622" max="4622" width="16.796875" style="47" bestFit="1" customWidth="1"/>
    <col min="4623" max="4623" width="13.3984375" style="47" customWidth="1"/>
    <col min="4624" max="4624" width="9.296875" style="47" customWidth="1"/>
    <col min="4625" max="4625" width="13.796875" style="47" customWidth="1"/>
    <col min="4626" max="4626" width="12.8984375" style="47" customWidth="1"/>
    <col min="4627" max="4627" width="13.09765625" style="47" customWidth="1"/>
    <col min="4628" max="4628" width="12.8984375" style="47" customWidth="1"/>
    <col min="4629" max="4629" width="17.3984375" style="47" customWidth="1"/>
    <col min="4630" max="4630" width="8.8984375" style="47" bestFit="1" customWidth="1"/>
    <col min="4631" max="4864" width="34.59765625" style="47"/>
    <col min="4865" max="4865" width="57.296875" style="47" customWidth="1"/>
    <col min="4866" max="4866" width="16.5" style="47" customWidth="1"/>
    <col min="4867" max="4867" width="13.8984375" style="47" customWidth="1"/>
    <col min="4868" max="4868" width="17.8984375" style="47" customWidth="1"/>
    <col min="4869" max="4869" width="15.19921875" style="47" bestFit="1" customWidth="1"/>
    <col min="4870" max="4870" width="16.796875" style="47" bestFit="1" customWidth="1"/>
    <col min="4871" max="4871" width="13.09765625" style="47" bestFit="1" customWidth="1"/>
    <col min="4872" max="4872" width="6.59765625" style="47" bestFit="1" customWidth="1"/>
    <col min="4873" max="4873" width="13.796875" style="47" customWidth="1"/>
    <col min="4874" max="4874" width="16.796875" style="47" bestFit="1" customWidth="1"/>
    <col min="4875" max="4875" width="14.09765625" style="47" bestFit="1" customWidth="1"/>
    <col min="4876" max="4877" width="15.19921875" style="47" bestFit="1" customWidth="1"/>
    <col min="4878" max="4878" width="16.796875" style="47" bestFit="1" customWidth="1"/>
    <col min="4879" max="4879" width="13.3984375" style="47" customWidth="1"/>
    <col min="4880" max="4880" width="9.296875" style="47" customWidth="1"/>
    <col min="4881" max="4881" width="13.796875" style="47" customWidth="1"/>
    <col min="4882" max="4882" width="12.8984375" style="47" customWidth="1"/>
    <col min="4883" max="4883" width="13.09765625" style="47" customWidth="1"/>
    <col min="4884" max="4884" width="12.8984375" style="47" customWidth="1"/>
    <col min="4885" max="4885" width="17.3984375" style="47" customWidth="1"/>
    <col min="4886" max="4886" width="8.8984375" style="47" bestFit="1" customWidth="1"/>
    <col min="4887" max="5120" width="34.59765625" style="47"/>
    <col min="5121" max="5121" width="57.296875" style="47" customWidth="1"/>
    <col min="5122" max="5122" width="16.5" style="47" customWidth="1"/>
    <col min="5123" max="5123" width="13.8984375" style="47" customWidth="1"/>
    <col min="5124" max="5124" width="17.8984375" style="47" customWidth="1"/>
    <col min="5125" max="5125" width="15.19921875" style="47" bestFit="1" customWidth="1"/>
    <col min="5126" max="5126" width="16.796875" style="47" bestFit="1" customWidth="1"/>
    <col min="5127" max="5127" width="13.09765625" style="47" bestFit="1" customWidth="1"/>
    <col min="5128" max="5128" width="6.59765625" style="47" bestFit="1" customWidth="1"/>
    <col min="5129" max="5129" width="13.796875" style="47" customWidth="1"/>
    <col min="5130" max="5130" width="16.796875" style="47" bestFit="1" customWidth="1"/>
    <col min="5131" max="5131" width="14.09765625" style="47" bestFit="1" customWidth="1"/>
    <col min="5132" max="5133" width="15.19921875" style="47" bestFit="1" customWidth="1"/>
    <col min="5134" max="5134" width="16.796875" style="47" bestFit="1" customWidth="1"/>
    <col min="5135" max="5135" width="13.3984375" style="47" customWidth="1"/>
    <col min="5136" max="5136" width="9.296875" style="47" customWidth="1"/>
    <col min="5137" max="5137" width="13.796875" style="47" customWidth="1"/>
    <col min="5138" max="5138" width="12.8984375" style="47" customWidth="1"/>
    <col min="5139" max="5139" width="13.09765625" style="47" customWidth="1"/>
    <col min="5140" max="5140" width="12.8984375" style="47" customWidth="1"/>
    <col min="5141" max="5141" width="17.3984375" style="47" customWidth="1"/>
    <col min="5142" max="5142" width="8.8984375" style="47" bestFit="1" customWidth="1"/>
    <col min="5143" max="5376" width="34.59765625" style="47"/>
    <col min="5377" max="5377" width="57.296875" style="47" customWidth="1"/>
    <col min="5378" max="5378" width="16.5" style="47" customWidth="1"/>
    <col min="5379" max="5379" width="13.8984375" style="47" customWidth="1"/>
    <col min="5380" max="5380" width="17.8984375" style="47" customWidth="1"/>
    <col min="5381" max="5381" width="15.19921875" style="47" bestFit="1" customWidth="1"/>
    <col min="5382" max="5382" width="16.796875" style="47" bestFit="1" customWidth="1"/>
    <col min="5383" max="5383" width="13.09765625" style="47" bestFit="1" customWidth="1"/>
    <col min="5384" max="5384" width="6.59765625" style="47" bestFit="1" customWidth="1"/>
    <col min="5385" max="5385" width="13.796875" style="47" customWidth="1"/>
    <col min="5386" max="5386" width="16.796875" style="47" bestFit="1" customWidth="1"/>
    <col min="5387" max="5387" width="14.09765625" style="47" bestFit="1" customWidth="1"/>
    <col min="5388" max="5389" width="15.19921875" style="47" bestFit="1" customWidth="1"/>
    <col min="5390" max="5390" width="16.796875" style="47" bestFit="1" customWidth="1"/>
    <col min="5391" max="5391" width="13.3984375" style="47" customWidth="1"/>
    <col min="5392" max="5392" width="9.296875" style="47" customWidth="1"/>
    <col min="5393" max="5393" width="13.796875" style="47" customWidth="1"/>
    <col min="5394" max="5394" width="12.8984375" style="47" customWidth="1"/>
    <col min="5395" max="5395" width="13.09765625" style="47" customWidth="1"/>
    <col min="5396" max="5396" width="12.8984375" style="47" customWidth="1"/>
    <col min="5397" max="5397" width="17.3984375" style="47" customWidth="1"/>
    <col min="5398" max="5398" width="8.8984375" style="47" bestFit="1" customWidth="1"/>
    <col min="5399" max="5632" width="34.59765625" style="47"/>
    <col min="5633" max="5633" width="57.296875" style="47" customWidth="1"/>
    <col min="5634" max="5634" width="16.5" style="47" customWidth="1"/>
    <col min="5635" max="5635" width="13.8984375" style="47" customWidth="1"/>
    <col min="5636" max="5636" width="17.8984375" style="47" customWidth="1"/>
    <col min="5637" max="5637" width="15.19921875" style="47" bestFit="1" customWidth="1"/>
    <col min="5638" max="5638" width="16.796875" style="47" bestFit="1" customWidth="1"/>
    <col min="5639" max="5639" width="13.09765625" style="47" bestFit="1" customWidth="1"/>
    <col min="5640" max="5640" width="6.59765625" style="47" bestFit="1" customWidth="1"/>
    <col min="5641" max="5641" width="13.796875" style="47" customWidth="1"/>
    <col min="5642" max="5642" width="16.796875" style="47" bestFit="1" customWidth="1"/>
    <col min="5643" max="5643" width="14.09765625" style="47" bestFit="1" customWidth="1"/>
    <col min="5644" max="5645" width="15.19921875" style="47" bestFit="1" customWidth="1"/>
    <col min="5646" max="5646" width="16.796875" style="47" bestFit="1" customWidth="1"/>
    <col min="5647" max="5647" width="13.3984375" style="47" customWidth="1"/>
    <col min="5648" max="5648" width="9.296875" style="47" customWidth="1"/>
    <col min="5649" max="5649" width="13.796875" style="47" customWidth="1"/>
    <col min="5650" max="5650" width="12.8984375" style="47" customWidth="1"/>
    <col min="5651" max="5651" width="13.09765625" style="47" customWidth="1"/>
    <col min="5652" max="5652" width="12.8984375" style="47" customWidth="1"/>
    <col min="5653" max="5653" width="17.3984375" style="47" customWidth="1"/>
    <col min="5654" max="5654" width="8.8984375" style="47" bestFit="1" customWidth="1"/>
    <col min="5655" max="5888" width="34.59765625" style="47"/>
    <col min="5889" max="5889" width="57.296875" style="47" customWidth="1"/>
    <col min="5890" max="5890" width="16.5" style="47" customWidth="1"/>
    <col min="5891" max="5891" width="13.8984375" style="47" customWidth="1"/>
    <col min="5892" max="5892" width="17.8984375" style="47" customWidth="1"/>
    <col min="5893" max="5893" width="15.19921875" style="47" bestFit="1" customWidth="1"/>
    <col min="5894" max="5894" width="16.796875" style="47" bestFit="1" customWidth="1"/>
    <col min="5895" max="5895" width="13.09765625" style="47" bestFit="1" customWidth="1"/>
    <col min="5896" max="5896" width="6.59765625" style="47" bestFit="1" customWidth="1"/>
    <col min="5897" max="5897" width="13.796875" style="47" customWidth="1"/>
    <col min="5898" max="5898" width="16.796875" style="47" bestFit="1" customWidth="1"/>
    <col min="5899" max="5899" width="14.09765625" style="47" bestFit="1" customWidth="1"/>
    <col min="5900" max="5901" width="15.19921875" style="47" bestFit="1" customWidth="1"/>
    <col min="5902" max="5902" width="16.796875" style="47" bestFit="1" customWidth="1"/>
    <col min="5903" max="5903" width="13.3984375" style="47" customWidth="1"/>
    <col min="5904" max="5904" width="9.296875" style="47" customWidth="1"/>
    <col min="5905" max="5905" width="13.796875" style="47" customWidth="1"/>
    <col min="5906" max="5906" width="12.8984375" style="47" customWidth="1"/>
    <col min="5907" max="5907" width="13.09765625" style="47" customWidth="1"/>
    <col min="5908" max="5908" width="12.8984375" style="47" customWidth="1"/>
    <col min="5909" max="5909" width="17.3984375" style="47" customWidth="1"/>
    <col min="5910" max="5910" width="8.8984375" style="47" bestFit="1" customWidth="1"/>
    <col min="5911" max="6144" width="34.59765625" style="47"/>
    <col min="6145" max="6145" width="57.296875" style="47" customWidth="1"/>
    <col min="6146" max="6146" width="16.5" style="47" customWidth="1"/>
    <col min="6147" max="6147" width="13.8984375" style="47" customWidth="1"/>
    <col min="6148" max="6148" width="17.8984375" style="47" customWidth="1"/>
    <col min="6149" max="6149" width="15.19921875" style="47" bestFit="1" customWidth="1"/>
    <col min="6150" max="6150" width="16.796875" style="47" bestFit="1" customWidth="1"/>
    <col min="6151" max="6151" width="13.09765625" style="47" bestFit="1" customWidth="1"/>
    <col min="6152" max="6152" width="6.59765625" style="47" bestFit="1" customWidth="1"/>
    <col min="6153" max="6153" width="13.796875" style="47" customWidth="1"/>
    <col min="6154" max="6154" width="16.796875" style="47" bestFit="1" customWidth="1"/>
    <col min="6155" max="6155" width="14.09765625" style="47" bestFit="1" customWidth="1"/>
    <col min="6156" max="6157" width="15.19921875" style="47" bestFit="1" customWidth="1"/>
    <col min="6158" max="6158" width="16.796875" style="47" bestFit="1" customWidth="1"/>
    <col min="6159" max="6159" width="13.3984375" style="47" customWidth="1"/>
    <col min="6160" max="6160" width="9.296875" style="47" customWidth="1"/>
    <col min="6161" max="6161" width="13.796875" style="47" customWidth="1"/>
    <col min="6162" max="6162" width="12.8984375" style="47" customWidth="1"/>
    <col min="6163" max="6163" width="13.09765625" style="47" customWidth="1"/>
    <col min="6164" max="6164" width="12.8984375" style="47" customWidth="1"/>
    <col min="6165" max="6165" width="17.3984375" style="47" customWidth="1"/>
    <col min="6166" max="6166" width="8.8984375" style="47" bestFit="1" customWidth="1"/>
    <col min="6167" max="6400" width="34.59765625" style="47"/>
    <col min="6401" max="6401" width="57.296875" style="47" customWidth="1"/>
    <col min="6402" max="6402" width="16.5" style="47" customWidth="1"/>
    <col min="6403" max="6403" width="13.8984375" style="47" customWidth="1"/>
    <col min="6404" max="6404" width="17.8984375" style="47" customWidth="1"/>
    <col min="6405" max="6405" width="15.19921875" style="47" bestFit="1" customWidth="1"/>
    <col min="6406" max="6406" width="16.796875" style="47" bestFit="1" customWidth="1"/>
    <col min="6407" max="6407" width="13.09765625" style="47" bestFit="1" customWidth="1"/>
    <col min="6408" max="6408" width="6.59765625" style="47" bestFit="1" customWidth="1"/>
    <col min="6409" max="6409" width="13.796875" style="47" customWidth="1"/>
    <col min="6410" max="6410" width="16.796875" style="47" bestFit="1" customWidth="1"/>
    <col min="6411" max="6411" width="14.09765625" style="47" bestFit="1" customWidth="1"/>
    <col min="6412" max="6413" width="15.19921875" style="47" bestFit="1" customWidth="1"/>
    <col min="6414" max="6414" width="16.796875" style="47" bestFit="1" customWidth="1"/>
    <col min="6415" max="6415" width="13.3984375" style="47" customWidth="1"/>
    <col min="6416" max="6416" width="9.296875" style="47" customWidth="1"/>
    <col min="6417" max="6417" width="13.796875" style="47" customWidth="1"/>
    <col min="6418" max="6418" width="12.8984375" style="47" customWidth="1"/>
    <col min="6419" max="6419" width="13.09765625" style="47" customWidth="1"/>
    <col min="6420" max="6420" width="12.8984375" style="47" customWidth="1"/>
    <col min="6421" max="6421" width="17.3984375" style="47" customWidth="1"/>
    <col min="6422" max="6422" width="8.8984375" style="47" bestFit="1" customWidth="1"/>
    <col min="6423" max="6656" width="34.59765625" style="47"/>
    <col min="6657" max="6657" width="57.296875" style="47" customWidth="1"/>
    <col min="6658" max="6658" width="16.5" style="47" customWidth="1"/>
    <col min="6659" max="6659" width="13.8984375" style="47" customWidth="1"/>
    <col min="6660" max="6660" width="17.8984375" style="47" customWidth="1"/>
    <col min="6661" max="6661" width="15.19921875" style="47" bestFit="1" customWidth="1"/>
    <col min="6662" max="6662" width="16.796875" style="47" bestFit="1" customWidth="1"/>
    <col min="6663" max="6663" width="13.09765625" style="47" bestFit="1" customWidth="1"/>
    <col min="6664" max="6664" width="6.59765625" style="47" bestFit="1" customWidth="1"/>
    <col min="6665" max="6665" width="13.796875" style="47" customWidth="1"/>
    <col min="6666" max="6666" width="16.796875" style="47" bestFit="1" customWidth="1"/>
    <col min="6667" max="6667" width="14.09765625" style="47" bestFit="1" customWidth="1"/>
    <col min="6668" max="6669" width="15.19921875" style="47" bestFit="1" customWidth="1"/>
    <col min="6670" max="6670" width="16.796875" style="47" bestFit="1" customWidth="1"/>
    <col min="6671" max="6671" width="13.3984375" style="47" customWidth="1"/>
    <col min="6672" max="6672" width="9.296875" style="47" customWidth="1"/>
    <col min="6673" max="6673" width="13.796875" style="47" customWidth="1"/>
    <col min="6674" max="6674" width="12.8984375" style="47" customWidth="1"/>
    <col min="6675" max="6675" width="13.09765625" style="47" customWidth="1"/>
    <col min="6676" max="6676" width="12.8984375" style="47" customWidth="1"/>
    <col min="6677" max="6677" width="17.3984375" style="47" customWidth="1"/>
    <col min="6678" max="6678" width="8.8984375" style="47" bestFit="1" customWidth="1"/>
    <col min="6679" max="6912" width="34.59765625" style="47"/>
    <col min="6913" max="6913" width="57.296875" style="47" customWidth="1"/>
    <col min="6914" max="6914" width="16.5" style="47" customWidth="1"/>
    <col min="6915" max="6915" width="13.8984375" style="47" customWidth="1"/>
    <col min="6916" max="6916" width="17.8984375" style="47" customWidth="1"/>
    <col min="6917" max="6917" width="15.19921875" style="47" bestFit="1" customWidth="1"/>
    <col min="6918" max="6918" width="16.796875" style="47" bestFit="1" customWidth="1"/>
    <col min="6919" max="6919" width="13.09765625" style="47" bestFit="1" customWidth="1"/>
    <col min="6920" max="6920" width="6.59765625" style="47" bestFit="1" customWidth="1"/>
    <col min="6921" max="6921" width="13.796875" style="47" customWidth="1"/>
    <col min="6922" max="6922" width="16.796875" style="47" bestFit="1" customWidth="1"/>
    <col min="6923" max="6923" width="14.09765625" style="47" bestFit="1" customWidth="1"/>
    <col min="6924" max="6925" width="15.19921875" style="47" bestFit="1" customWidth="1"/>
    <col min="6926" max="6926" width="16.796875" style="47" bestFit="1" customWidth="1"/>
    <col min="6927" max="6927" width="13.3984375" style="47" customWidth="1"/>
    <col min="6928" max="6928" width="9.296875" style="47" customWidth="1"/>
    <col min="6929" max="6929" width="13.796875" style="47" customWidth="1"/>
    <col min="6930" max="6930" width="12.8984375" style="47" customWidth="1"/>
    <col min="6931" max="6931" width="13.09765625" style="47" customWidth="1"/>
    <col min="6932" max="6932" width="12.8984375" style="47" customWidth="1"/>
    <col min="6933" max="6933" width="17.3984375" style="47" customWidth="1"/>
    <col min="6934" max="6934" width="8.8984375" style="47" bestFit="1" customWidth="1"/>
    <col min="6935" max="7168" width="34.59765625" style="47"/>
    <col min="7169" max="7169" width="57.296875" style="47" customWidth="1"/>
    <col min="7170" max="7170" width="16.5" style="47" customWidth="1"/>
    <col min="7171" max="7171" width="13.8984375" style="47" customWidth="1"/>
    <col min="7172" max="7172" width="17.8984375" style="47" customWidth="1"/>
    <col min="7173" max="7173" width="15.19921875" style="47" bestFit="1" customWidth="1"/>
    <col min="7174" max="7174" width="16.796875" style="47" bestFit="1" customWidth="1"/>
    <col min="7175" max="7175" width="13.09765625" style="47" bestFit="1" customWidth="1"/>
    <col min="7176" max="7176" width="6.59765625" style="47" bestFit="1" customWidth="1"/>
    <col min="7177" max="7177" width="13.796875" style="47" customWidth="1"/>
    <col min="7178" max="7178" width="16.796875" style="47" bestFit="1" customWidth="1"/>
    <col min="7179" max="7179" width="14.09765625" style="47" bestFit="1" customWidth="1"/>
    <col min="7180" max="7181" width="15.19921875" style="47" bestFit="1" customWidth="1"/>
    <col min="7182" max="7182" width="16.796875" style="47" bestFit="1" customWidth="1"/>
    <col min="7183" max="7183" width="13.3984375" style="47" customWidth="1"/>
    <col min="7184" max="7184" width="9.296875" style="47" customWidth="1"/>
    <col min="7185" max="7185" width="13.796875" style="47" customWidth="1"/>
    <col min="7186" max="7186" width="12.8984375" style="47" customWidth="1"/>
    <col min="7187" max="7187" width="13.09765625" style="47" customWidth="1"/>
    <col min="7188" max="7188" width="12.8984375" style="47" customWidth="1"/>
    <col min="7189" max="7189" width="17.3984375" style="47" customWidth="1"/>
    <col min="7190" max="7190" width="8.8984375" style="47" bestFit="1" customWidth="1"/>
    <col min="7191" max="7424" width="34.59765625" style="47"/>
    <col min="7425" max="7425" width="57.296875" style="47" customWidth="1"/>
    <col min="7426" max="7426" width="16.5" style="47" customWidth="1"/>
    <col min="7427" max="7427" width="13.8984375" style="47" customWidth="1"/>
    <col min="7428" max="7428" width="17.8984375" style="47" customWidth="1"/>
    <col min="7429" max="7429" width="15.19921875" style="47" bestFit="1" customWidth="1"/>
    <col min="7430" max="7430" width="16.796875" style="47" bestFit="1" customWidth="1"/>
    <col min="7431" max="7431" width="13.09765625" style="47" bestFit="1" customWidth="1"/>
    <col min="7432" max="7432" width="6.59765625" style="47" bestFit="1" customWidth="1"/>
    <col min="7433" max="7433" width="13.796875" style="47" customWidth="1"/>
    <col min="7434" max="7434" width="16.796875" style="47" bestFit="1" customWidth="1"/>
    <col min="7435" max="7435" width="14.09765625" style="47" bestFit="1" customWidth="1"/>
    <col min="7436" max="7437" width="15.19921875" style="47" bestFit="1" customWidth="1"/>
    <col min="7438" max="7438" width="16.796875" style="47" bestFit="1" customWidth="1"/>
    <col min="7439" max="7439" width="13.3984375" style="47" customWidth="1"/>
    <col min="7440" max="7440" width="9.296875" style="47" customWidth="1"/>
    <col min="7441" max="7441" width="13.796875" style="47" customWidth="1"/>
    <col min="7442" max="7442" width="12.8984375" style="47" customWidth="1"/>
    <col min="7443" max="7443" width="13.09765625" style="47" customWidth="1"/>
    <col min="7444" max="7444" width="12.8984375" style="47" customWidth="1"/>
    <col min="7445" max="7445" width="17.3984375" style="47" customWidth="1"/>
    <col min="7446" max="7446" width="8.8984375" style="47" bestFit="1" customWidth="1"/>
    <col min="7447" max="7680" width="34.59765625" style="47"/>
    <col min="7681" max="7681" width="57.296875" style="47" customWidth="1"/>
    <col min="7682" max="7682" width="16.5" style="47" customWidth="1"/>
    <col min="7683" max="7683" width="13.8984375" style="47" customWidth="1"/>
    <col min="7684" max="7684" width="17.8984375" style="47" customWidth="1"/>
    <col min="7685" max="7685" width="15.19921875" style="47" bestFit="1" customWidth="1"/>
    <col min="7686" max="7686" width="16.796875" style="47" bestFit="1" customWidth="1"/>
    <col min="7687" max="7687" width="13.09765625" style="47" bestFit="1" customWidth="1"/>
    <col min="7688" max="7688" width="6.59765625" style="47" bestFit="1" customWidth="1"/>
    <col min="7689" max="7689" width="13.796875" style="47" customWidth="1"/>
    <col min="7690" max="7690" width="16.796875" style="47" bestFit="1" customWidth="1"/>
    <col min="7691" max="7691" width="14.09765625" style="47" bestFit="1" customWidth="1"/>
    <col min="7692" max="7693" width="15.19921875" style="47" bestFit="1" customWidth="1"/>
    <col min="7694" max="7694" width="16.796875" style="47" bestFit="1" customWidth="1"/>
    <col min="7695" max="7695" width="13.3984375" style="47" customWidth="1"/>
    <col min="7696" max="7696" width="9.296875" style="47" customWidth="1"/>
    <col min="7697" max="7697" width="13.796875" style="47" customWidth="1"/>
    <col min="7698" max="7698" width="12.8984375" style="47" customWidth="1"/>
    <col min="7699" max="7699" width="13.09765625" style="47" customWidth="1"/>
    <col min="7700" max="7700" width="12.8984375" style="47" customWidth="1"/>
    <col min="7701" max="7701" width="17.3984375" style="47" customWidth="1"/>
    <col min="7702" max="7702" width="8.8984375" style="47" bestFit="1" customWidth="1"/>
    <col min="7703" max="7936" width="34.59765625" style="47"/>
    <col min="7937" max="7937" width="57.296875" style="47" customWidth="1"/>
    <col min="7938" max="7938" width="16.5" style="47" customWidth="1"/>
    <col min="7939" max="7939" width="13.8984375" style="47" customWidth="1"/>
    <col min="7940" max="7940" width="17.8984375" style="47" customWidth="1"/>
    <col min="7941" max="7941" width="15.19921875" style="47" bestFit="1" customWidth="1"/>
    <col min="7942" max="7942" width="16.796875" style="47" bestFit="1" customWidth="1"/>
    <col min="7943" max="7943" width="13.09765625" style="47" bestFit="1" customWidth="1"/>
    <col min="7944" max="7944" width="6.59765625" style="47" bestFit="1" customWidth="1"/>
    <col min="7945" max="7945" width="13.796875" style="47" customWidth="1"/>
    <col min="7946" max="7946" width="16.796875" style="47" bestFit="1" customWidth="1"/>
    <col min="7947" max="7947" width="14.09765625" style="47" bestFit="1" customWidth="1"/>
    <col min="7948" max="7949" width="15.19921875" style="47" bestFit="1" customWidth="1"/>
    <col min="7950" max="7950" width="16.796875" style="47" bestFit="1" customWidth="1"/>
    <col min="7951" max="7951" width="13.3984375" style="47" customWidth="1"/>
    <col min="7952" max="7952" width="9.296875" style="47" customWidth="1"/>
    <col min="7953" max="7953" width="13.796875" style="47" customWidth="1"/>
    <col min="7954" max="7954" width="12.8984375" style="47" customWidth="1"/>
    <col min="7955" max="7955" width="13.09765625" style="47" customWidth="1"/>
    <col min="7956" max="7956" width="12.8984375" style="47" customWidth="1"/>
    <col min="7957" max="7957" width="17.3984375" style="47" customWidth="1"/>
    <col min="7958" max="7958" width="8.8984375" style="47" bestFit="1" customWidth="1"/>
    <col min="7959" max="8192" width="34.59765625" style="47"/>
    <col min="8193" max="8193" width="57.296875" style="47" customWidth="1"/>
    <col min="8194" max="8194" width="16.5" style="47" customWidth="1"/>
    <col min="8195" max="8195" width="13.8984375" style="47" customWidth="1"/>
    <col min="8196" max="8196" width="17.8984375" style="47" customWidth="1"/>
    <col min="8197" max="8197" width="15.19921875" style="47" bestFit="1" customWidth="1"/>
    <col min="8198" max="8198" width="16.796875" style="47" bestFit="1" customWidth="1"/>
    <col min="8199" max="8199" width="13.09765625" style="47" bestFit="1" customWidth="1"/>
    <col min="8200" max="8200" width="6.59765625" style="47" bestFit="1" customWidth="1"/>
    <col min="8201" max="8201" width="13.796875" style="47" customWidth="1"/>
    <col min="8202" max="8202" width="16.796875" style="47" bestFit="1" customWidth="1"/>
    <col min="8203" max="8203" width="14.09765625" style="47" bestFit="1" customWidth="1"/>
    <col min="8204" max="8205" width="15.19921875" style="47" bestFit="1" customWidth="1"/>
    <col min="8206" max="8206" width="16.796875" style="47" bestFit="1" customWidth="1"/>
    <col min="8207" max="8207" width="13.3984375" style="47" customWidth="1"/>
    <col min="8208" max="8208" width="9.296875" style="47" customWidth="1"/>
    <col min="8209" max="8209" width="13.796875" style="47" customWidth="1"/>
    <col min="8210" max="8210" width="12.8984375" style="47" customWidth="1"/>
    <col min="8211" max="8211" width="13.09765625" style="47" customWidth="1"/>
    <col min="8212" max="8212" width="12.8984375" style="47" customWidth="1"/>
    <col min="8213" max="8213" width="17.3984375" style="47" customWidth="1"/>
    <col min="8214" max="8214" width="8.8984375" style="47" bestFit="1" customWidth="1"/>
    <col min="8215" max="8448" width="34.59765625" style="47"/>
    <col min="8449" max="8449" width="57.296875" style="47" customWidth="1"/>
    <col min="8450" max="8450" width="16.5" style="47" customWidth="1"/>
    <col min="8451" max="8451" width="13.8984375" style="47" customWidth="1"/>
    <col min="8452" max="8452" width="17.8984375" style="47" customWidth="1"/>
    <col min="8453" max="8453" width="15.19921875" style="47" bestFit="1" customWidth="1"/>
    <col min="8454" max="8454" width="16.796875" style="47" bestFit="1" customWidth="1"/>
    <col min="8455" max="8455" width="13.09765625" style="47" bestFit="1" customWidth="1"/>
    <col min="8456" max="8456" width="6.59765625" style="47" bestFit="1" customWidth="1"/>
    <col min="8457" max="8457" width="13.796875" style="47" customWidth="1"/>
    <col min="8458" max="8458" width="16.796875" style="47" bestFit="1" customWidth="1"/>
    <col min="8459" max="8459" width="14.09765625" style="47" bestFit="1" customWidth="1"/>
    <col min="8460" max="8461" width="15.19921875" style="47" bestFit="1" customWidth="1"/>
    <col min="8462" max="8462" width="16.796875" style="47" bestFit="1" customWidth="1"/>
    <col min="8463" max="8463" width="13.3984375" style="47" customWidth="1"/>
    <col min="8464" max="8464" width="9.296875" style="47" customWidth="1"/>
    <col min="8465" max="8465" width="13.796875" style="47" customWidth="1"/>
    <col min="8466" max="8466" width="12.8984375" style="47" customWidth="1"/>
    <col min="8467" max="8467" width="13.09765625" style="47" customWidth="1"/>
    <col min="8468" max="8468" width="12.8984375" style="47" customWidth="1"/>
    <col min="8469" max="8469" width="17.3984375" style="47" customWidth="1"/>
    <col min="8470" max="8470" width="8.8984375" style="47" bestFit="1" customWidth="1"/>
    <col min="8471" max="8704" width="34.59765625" style="47"/>
    <col min="8705" max="8705" width="57.296875" style="47" customWidth="1"/>
    <col min="8706" max="8706" width="16.5" style="47" customWidth="1"/>
    <col min="8707" max="8707" width="13.8984375" style="47" customWidth="1"/>
    <col min="8708" max="8708" width="17.8984375" style="47" customWidth="1"/>
    <col min="8709" max="8709" width="15.19921875" style="47" bestFit="1" customWidth="1"/>
    <col min="8710" max="8710" width="16.796875" style="47" bestFit="1" customWidth="1"/>
    <col min="8711" max="8711" width="13.09765625" style="47" bestFit="1" customWidth="1"/>
    <col min="8712" max="8712" width="6.59765625" style="47" bestFit="1" customWidth="1"/>
    <col min="8713" max="8713" width="13.796875" style="47" customWidth="1"/>
    <col min="8714" max="8714" width="16.796875" style="47" bestFit="1" customWidth="1"/>
    <col min="8715" max="8715" width="14.09765625" style="47" bestFit="1" customWidth="1"/>
    <col min="8716" max="8717" width="15.19921875" style="47" bestFit="1" customWidth="1"/>
    <col min="8718" max="8718" width="16.796875" style="47" bestFit="1" customWidth="1"/>
    <col min="8719" max="8719" width="13.3984375" style="47" customWidth="1"/>
    <col min="8720" max="8720" width="9.296875" style="47" customWidth="1"/>
    <col min="8721" max="8721" width="13.796875" style="47" customWidth="1"/>
    <col min="8722" max="8722" width="12.8984375" style="47" customWidth="1"/>
    <col min="8723" max="8723" width="13.09765625" style="47" customWidth="1"/>
    <col min="8724" max="8724" width="12.8984375" style="47" customWidth="1"/>
    <col min="8725" max="8725" width="17.3984375" style="47" customWidth="1"/>
    <col min="8726" max="8726" width="8.8984375" style="47" bestFit="1" customWidth="1"/>
    <col min="8727" max="8960" width="34.59765625" style="47"/>
    <col min="8961" max="8961" width="57.296875" style="47" customWidth="1"/>
    <col min="8962" max="8962" width="16.5" style="47" customWidth="1"/>
    <col min="8963" max="8963" width="13.8984375" style="47" customWidth="1"/>
    <col min="8964" max="8964" width="17.8984375" style="47" customWidth="1"/>
    <col min="8965" max="8965" width="15.19921875" style="47" bestFit="1" customWidth="1"/>
    <col min="8966" max="8966" width="16.796875" style="47" bestFit="1" customWidth="1"/>
    <col min="8967" max="8967" width="13.09765625" style="47" bestFit="1" customWidth="1"/>
    <col min="8968" max="8968" width="6.59765625" style="47" bestFit="1" customWidth="1"/>
    <col min="8969" max="8969" width="13.796875" style="47" customWidth="1"/>
    <col min="8970" max="8970" width="16.796875" style="47" bestFit="1" customWidth="1"/>
    <col min="8971" max="8971" width="14.09765625" style="47" bestFit="1" customWidth="1"/>
    <col min="8972" max="8973" width="15.19921875" style="47" bestFit="1" customWidth="1"/>
    <col min="8974" max="8974" width="16.796875" style="47" bestFit="1" customWidth="1"/>
    <col min="8975" max="8975" width="13.3984375" style="47" customWidth="1"/>
    <col min="8976" max="8976" width="9.296875" style="47" customWidth="1"/>
    <col min="8977" max="8977" width="13.796875" style="47" customWidth="1"/>
    <col min="8978" max="8978" width="12.8984375" style="47" customWidth="1"/>
    <col min="8979" max="8979" width="13.09765625" style="47" customWidth="1"/>
    <col min="8980" max="8980" width="12.8984375" style="47" customWidth="1"/>
    <col min="8981" max="8981" width="17.3984375" style="47" customWidth="1"/>
    <col min="8982" max="8982" width="8.8984375" style="47" bestFit="1" customWidth="1"/>
    <col min="8983" max="9216" width="34.59765625" style="47"/>
    <col min="9217" max="9217" width="57.296875" style="47" customWidth="1"/>
    <col min="9218" max="9218" width="16.5" style="47" customWidth="1"/>
    <col min="9219" max="9219" width="13.8984375" style="47" customWidth="1"/>
    <col min="9220" max="9220" width="17.8984375" style="47" customWidth="1"/>
    <col min="9221" max="9221" width="15.19921875" style="47" bestFit="1" customWidth="1"/>
    <col min="9222" max="9222" width="16.796875" style="47" bestFit="1" customWidth="1"/>
    <col min="9223" max="9223" width="13.09765625" style="47" bestFit="1" customWidth="1"/>
    <col min="9224" max="9224" width="6.59765625" style="47" bestFit="1" customWidth="1"/>
    <col min="9225" max="9225" width="13.796875" style="47" customWidth="1"/>
    <col min="9226" max="9226" width="16.796875" style="47" bestFit="1" customWidth="1"/>
    <col min="9227" max="9227" width="14.09765625" style="47" bestFit="1" customWidth="1"/>
    <col min="9228" max="9229" width="15.19921875" style="47" bestFit="1" customWidth="1"/>
    <col min="9230" max="9230" width="16.796875" style="47" bestFit="1" customWidth="1"/>
    <col min="9231" max="9231" width="13.3984375" style="47" customWidth="1"/>
    <col min="9232" max="9232" width="9.296875" style="47" customWidth="1"/>
    <col min="9233" max="9233" width="13.796875" style="47" customWidth="1"/>
    <col min="9234" max="9234" width="12.8984375" style="47" customWidth="1"/>
    <col min="9235" max="9235" width="13.09765625" style="47" customWidth="1"/>
    <col min="9236" max="9236" width="12.8984375" style="47" customWidth="1"/>
    <col min="9237" max="9237" width="17.3984375" style="47" customWidth="1"/>
    <col min="9238" max="9238" width="8.8984375" style="47" bestFit="1" customWidth="1"/>
    <col min="9239" max="9472" width="34.59765625" style="47"/>
    <col min="9473" max="9473" width="57.296875" style="47" customWidth="1"/>
    <col min="9474" max="9474" width="16.5" style="47" customWidth="1"/>
    <col min="9475" max="9475" width="13.8984375" style="47" customWidth="1"/>
    <col min="9476" max="9476" width="17.8984375" style="47" customWidth="1"/>
    <col min="9477" max="9477" width="15.19921875" style="47" bestFit="1" customWidth="1"/>
    <col min="9478" max="9478" width="16.796875" style="47" bestFit="1" customWidth="1"/>
    <col min="9479" max="9479" width="13.09765625" style="47" bestFit="1" customWidth="1"/>
    <col min="9480" max="9480" width="6.59765625" style="47" bestFit="1" customWidth="1"/>
    <col min="9481" max="9481" width="13.796875" style="47" customWidth="1"/>
    <col min="9482" max="9482" width="16.796875" style="47" bestFit="1" customWidth="1"/>
    <col min="9483" max="9483" width="14.09765625" style="47" bestFit="1" customWidth="1"/>
    <col min="9484" max="9485" width="15.19921875" style="47" bestFit="1" customWidth="1"/>
    <col min="9486" max="9486" width="16.796875" style="47" bestFit="1" customWidth="1"/>
    <col min="9487" max="9487" width="13.3984375" style="47" customWidth="1"/>
    <col min="9488" max="9488" width="9.296875" style="47" customWidth="1"/>
    <col min="9489" max="9489" width="13.796875" style="47" customWidth="1"/>
    <col min="9490" max="9490" width="12.8984375" style="47" customWidth="1"/>
    <col min="9491" max="9491" width="13.09765625" style="47" customWidth="1"/>
    <col min="9492" max="9492" width="12.8984375" style="47" customWidth="1"/>
    <col min="9493" max="9493" width="17.3984375" style="47" customWidth="1"/>
    <col min="9494" max="9494" width="8.8984375" style="47" bestFit="1" customWidth="1"/>
    <col min="9495" max="9728" width="34.59765625" style="47"/>
    <col min="9729" max="9729" width="57.296875" style="47" customWidth="1"/>
    <col min="9730" max="9730" width="16.5" style="47" customWidth="1"/>
    <col min="9731" max="9731" width="13.8984375" style="47" customWidth="1"/>
    <col min="9732" max="9732" width="17.8984375" style="47" customWidth="1"/>
    <col min="9733" max="9733" width="15.19921875" style="47" bestFit="1" customWidth="1"/>
    <col min="9734" max="9734" width="16.796875" style="47" bestFit="1" customWidth="1"/>
    <col min="9735" max="9735" width="13.09765625" style="47" bestFit="1" customWidth="1"/>
    <col min="9736" max="9736" width="6.59765625" style="47" bestFit="1" customWidth="1"/>
    <col min="9737" max="9737" width="13.796875" style="47" customWidth="1"/>
    <col min="9738" max="9738" width="16.796875" style="47" bestFit="1" customWidth="1"/>
    <col min="9739" max="9739" width="14.09765625" style="47" bestFit="1" customWidth="1"/>
    <col min="9740" max="9741" width="15.19921875" style="47" bestFit="1" customWidth="1"/>
    <col min="9742" max="9742" width="16.796875" style="47" bestFit="1" customWidth="1"/>
    <col min="9743" max="9743" width="13.3984375" style="47" customWidth="1"/>
    <col min="9744" max="9744" width="9.296875" style="47" customWidth="1"/>
    <col min="9745" max="9745" width="13.796875" style="47" customWidth="1"/>
    <col min="9746" max="9746" width="12.8984375" style="47" customWidth="1"/>
    <col min="9747" max="9747" width="13.09765625" style="47" customWidth="1"/>
    <col min="9748" max="9748" width="12.8984375" style="47" customWidth="1"/>
    <col min="9749" max="9749" width="17.3984375" style="47" customWidth="1"/>
    <col min="9750" max="9750" width="8.8984375" style="47" bestFit="1" customWidth="1"/>
    <col min="9751" max="9984" width="34.59765625" style="47"/>
    <col min="9985" max="9985" width="57.296875" style="47" customWidth="1"/>
    <col min="9986" max="9986" width="16.5" style="47" customWidth="1"/>
    <col min="9987" max="9987" width="13.8984375" style="47" customWidth="1"/>
    <col min="9988" max="9988" width="17.8984375" style="47" customWidth="1"/>
    <col min="9989" max="9989" width="15.19921875" style="47" bestFit="1" customWidth="1"/>
    <col min="9990" max="9990" width="16.796875" style="47" bestFit="1" customWidth="1"/>
    <col min="9991" max="9991" width="13.09765625" style="47" bestFit="1" customWidth="1"/>
    <col min="9992" max="9992" width="6.59765625" style="47" bestFit="1" customWidth="1"/>
    <col min="9993" max="9993" width="13.796875" style="47" customWidth="1"/>
    <col min="9994" max="9994" width="16.796875" style="47" bestFit="1" customWidth="1"/>
    <col min="9995" max="9995" width="14.09765625" style="47" bestFit="1" customWidth="1"/>
    <col min="9996" max="9997" width="15.19921875" style="47" bestFit="1" customWidth="1"/>
    <col min="9998" max="9998" width="16.796875" style="47" bestFit="1" customWidth="1"/>
    <col min="9999" max="9999" width="13.3984375" style="47" customWidth="1"/>
    <col min="10000" max="10000" width="9.296875" style="47" customWidth="1"/>
    <col min="10001" max="10001" width="13.796875" style="47" customWidth="1"/>
    <col min="10002" max="10002" width="12.8984375" style="47" customWidth="1"/>
    <col min="10003" max="10003" width="13.09765625" style="47" customWidth="1"/>
    <col min="10004" max="10004" width="12.8984375" style="47" customWidth="1"/>
    <col min="10005" max="10005" width="17.3984375" style="47" customWidth="1"/>
    <col min="10006" max="10006" width="8.8984375" style="47" bestFit="1" customWidth="1"/>
    <col min="10007" max="10240" width="34.59765625" style="47"/>
    <col min="10241" max="10241" width="57.296875" style="47" customWidth="1"/>
    <col min="10242" max="10242" width="16.5" style="47" customWidth="1"/>
    <col min="10243" max="10243" width="13.8984375" style="47" customWidth="1"/>
    <col min="10244" max="10244" width="17.8984375" style="47" customWidth="1"/>
    <col min="10245" max="10245" width="15.19921875" style="47" bestFit="1" customWidth="1"/>
    <col min="10246" max="10246" width="16.796875" style="47" bestFit="1" customWidth="1"/>
    <col min="10247" max="10247" width="13.09765625" style="47" bestFit="1" customWidth="1"/>
    <col min="10248" max="10248" width="6.59765625" style="47" bestFit="1" customWidth="1"/>
    <col min="10249" max="10249" width="13.796875" style="47" customWidth="1"/>
    <col min="10250" max="10250" width="16.796875" style="47" bestFit="1" customWidth="1"/>
    <col min="10251" max="10251" width="14.09765625" style="47" bestFit="1" customWidth="1"/>
    <col min="10252" max="10253" width="15.19921875" style="47" bestFit="1" customWidth="1"/>
    <col min="10254" max="10254" width="16.796875" style="47" bestFit="1" customWidth="1"/>
    <col min="10255" max="10255" width="13.3984375" style="47" customWidth="1"/>
    <col min="10256" max="10256" width="9.296875" style="47" customWidth="1"/>
    <col min="10257" max="10257" width="13.796875" style="47" customWidth="1"/>
    <col min="10258" max="10258" width="12.8984375" style="47" customWidth="1"/>
    <col min="10259" max="10259" width="13.09765625" style="47" customWidth="1"/>
    <col min="10260" max="10260" width="12.8984375" style="47" customWidth="1"/>
    <col min="10261" max="10261" width="17.3984375" style="47" customWidth="1"/>
    <col min="10262" max="10262" width="8.8984375" style="47" bestFit="1" customWidth="1"/>
    <col min="10263" max="10496" width="34.59765625" style="47"/>
    <col min="10497" max="10497" width="57.296875" style="47" customWidth="1"/>
    <col min="10498" max="10498" width="16.5" style="47" customWidth="1"/>
    <col min="10499" max="10499" width="13.8984375" style="47" customWidth="1"/>
    <col min="10500" max="10500" width="17.8984375" style="47" customWidth="1"/>
    <col min="10501" max="10501" width="15.19921875" style="47" bestFit="1" customWidth="1"/>
    <col min="10502" max="10502" width="16.796875" style="47" bestFit="1" customWidth="1"/>
    <col min="10503" max="10503" width="13.09765625" style="47" bestFit="1" customWidth="1"/>
    <col min="10504" max="10504" width="6.59765625" style="47" bestFit="1" customWidth="1"/>
    <col min="10505" max="10505" width="13.796875" style="47" customWidth="1"/>
    <col min="10506" max="10506" width="16.796875" style="47" bestFit="1" customWidth="1"/>
    <col min="10507" max="10507" width="14.09765625" style="47" bestFit="1" customWidth="1"/>
    <col min="10508" max="10509" width="15.19921875" style="47" bestFit="1" customWidth="1"/>
    <col min="10510" max="10510" width="16.796875" style="47" bestFit="1" customWidth="1"/>
    <col min="10511" max="10511" width="13.3984375" style="47" customWidth="1"/>
    <col min="10512" max="10512" width="9.296875" style="47" customWidth="1"/>
    <col min="10513" max="10513" width="13.796875" style="47" customWidth="1"/>
    <col min="10514" max="10514" width="12.8984375" style="47" customWidth="1"/>
    <col min="10515" max="10515" width="13.09765625" style="47" customWidth="1"/>
    <col min="10516" max="10516" width="12.8984375" style="47" customWidth="1"/>
    <col min="10517" max="10517" width="17.3984375" style="47" customWidth="1"/>
    <col min="10518" max="10518" width="8.8984375" style="47" bestFit="1" customWidth="1"/>
    <col min="10519" max="10752" width="34.59765625" style="47"/>
    <col min="10753" max="10753" width="57.296875" style="47" customWidth="1"/>
    <col min="10754" max="10754" width="16.5" style="47" customWidth="1"/>
    <col min="10755" max="10755" width="13.8984375" style="47" customWidth="1"/>
    <col min="10756" max="10756" width="17.8984375" style="47" customWidth="1"/>
    <col min="10757" max="10757" width="15.19921875" style="47" bestFit="1" customWidth="1"/>
    <col min="10758" max="10758" width="16.796875" style="47" bestFit="1" customWidth="1"/>
    <col min="10759" max="10759" width="13.09765625" style="47" bestFit="1" customWidth="1"/>
    <col min="10760" max="10760" width="6.59765625" style="47" bestFit="1" customWidth="1"/>
    <col min="10761" max="10761" width="13.796875" style="47" customWidth="1"/>
    <col min="10762" max="10762" width="16.796875" style="47" bestFit="1" customWidth="1"/>
    <col min="10763" max="10763" width="14.09765625" style="47" bestFit="1" customWidth="1"/>
    <col min="10764" max="10765" width="15.19921875" style="47" bestFit="1" customWidth="1"/>
    <col min="10766" max="10766" width="16.796875" style="47" bestFit="1" customWidth="1"/>
    <col min="10767" max="10767" width="13.3984375" style="47" customWidth="1"/>
    <col min="10768" max="10768" width="9.296875" style="47" customWidth="1"/>
    <col min="10769" max="10769" width="13.796875" style="47" customWidth="1"/>
    <col min="10770" max="10770" width="12.8984375" style="47" customWidth="1"/>
    <col min="10771" max="10771" width="13.09765625" style="47" customWidth="1"/>
    <col min="10772" max="10772" width="12.8984375" style="47" customWidth="1"/>
    <col min="10773" max="10773" width="17.3984375" style="47" customWidth="1"/>
    <col min="10774" max="10774" width="8.8984375" style="47" bestFit="1" customWidth="1"/>
    <col min="10775" max="11008" width="34.59765625" style="47"/>
    <col min="11009" max="11009" width="57.296875" style="47" customWidth="1"/>
    <col min="11010" max="11010" width="16.5" style="47" customWidth="1"/>
    <col min="11011" max="11011" width="13.8984375" style="47" customWidth="1"/>
    <col min="11012" max="11012" width="17.8984375" style="47" customWidth="1"/>
    <col min="11013" max="11013" width="15.19921875" style="47" bestFit="1" customWidth="1"/>
    <col min="11014" max="11014" width="16.796875" style="47" bestFit="1" customWidth="1"/>
    <col min="11015" max="11015" width="13.09765625" style="47" bestFit="1" customWidth="1"/>
    <col min="11016" max="11016" width="6.59765625" style="47" bestFit="1" customWidth="1"/>
    <col min="11017" max="11017" width="13.796875" style="47" customWidth="1"/>
    <col min="11018" max="11018" width="16.796875" style="47" bestFit="1" customWidth="1"/>
    <col min="11019" max="11019" width="14.09765625" style="47" bestFit="1" customWidth="1"/>
    <col min="11020" max="11021" width="15.19921875" style="47" bestFit="1" customWidth="1"/>
    <col min="11022" max="11022" width="16.796875" style="47" bestFit="1" customWidth="1"/>
    <col min="11023" max="11023" width="13.3984375" style="47" customWidth="1"/>
    <col min="11024" max="11024" width="9.296875" style="47" customWidth="1"/>
    <col min="11025" max="11025" width="13.796875" style="47" customWidth="1"/>
    <col min="11026" max="11026" width="12.8984375" style="47" customWidth="1"/>
    <col min="11027" max="11027" width="13.09765625" style="47" customWidth="1"/>
    <col min="11028" max="11028" width="12.8984375" style="47" customWidth="1"/>
    <col min="11029" max="11029" width="17.3984375" style="47" customWidth="1"/>
    <col min="11030" max="11030" width="8.8984375" style="47" bestFit="1" customWidth="1"/>
    <col min="11031" max="11264" width="34.59765625" style="47"/>
    <col min="11265" max="11265" width="57.296875" style="47" customWidth="1"/>
    <col min="11266" max="11266" width="16.5" style="47" customWidth="1"/>
    <col min="11267" max="11267" width="13.8984375" style="47" customWidth="1"/>
    <col min="11268" max="11268" width="17.8984375" style="47" customWidth="1"/>
    <col min="11269" max="11269" width="15.19921875" style="47" bestFit="1" customWidth="1"/>
    <col min="11270" max="11270" width="16.796875" style="47" bestFit="1" customWidth="1"/>
    <col min="11271" max="11271" width="13.09765625" style="47" bestFit="1" customWidth="1"/>
    <col min="11272" max="11272" width="6.59765625" style="47" bestFit="1" customWidth="1"/>
    <col min="11273" max="11273" width="13.796875" style="47" customWidth="1"/>
    <col min="11274" max="11274" width="16.796875" style="47" bestFit="1" customWidth="1"/>
    <col min="11275" max="11275" width="14.09765625" style="47" bestFit="1" customWidth="1"/>
    <col min="11276" max="11277" width="15.19921875" style="47" bestFit="1" customWidth="1"/>
    <col min="11278" max="11278" width="16.796875" style="47" bestFit="1" customWidth="1"/>
    <col min="11279" max="11279" width="13.3984375" style="47" customWidth="1"/>
    <col min="11280" max="11280" width="9.296875" style="47" customWidth="1"/>
    <col min="11281" max="11281" width="13.796875" style="47" customWidth="1"/>
    <col min="11282" max="11282" width="12.8984375" style="47" customWidth="1"/>
    <col min="11283" max="11283" width="13.09765625" style="47" customWidth="1"/>
    <col min="11284" max="11284" width="12.8984375" style="47" customWidth="1"/>
    <col min="11285" max="11285" width="17.3984375" style="47" customWidth="1"/>
    <col min="11286" max="11286" width="8.8984375" style="47" bestFit="1" customWidth="1"/>
    <col min="11287" max="11520" width="34.59765625" style="47"/>
    <col min="11521" max="11521" width="57.296875" style="47" customWidth="1"/>
    <col min="11522" max="11522" width="16.5" style="47" customWidth="1"/>
    <col min="11523" max="11523" width="13.8984375" style="47" customWidth="1"/>
    <col min="11524" max="11524" width="17.8984375" style="47" customWidth="1"/>
    <col min="11525" max="11525" width="15.19921875" style="47" bestFit="1" customWidth="1"/>
    <col min="11526" max="11526" width="16.796875" style="47" bestFit="1" customWidth="1"/>
    <col min="11527" max="11527" width="13.09765625" style="47" bestFit="1" customWidth="1"/>
    <col min="11528" max="11528" width="6.59765625" style="47" bestFit="1" customWidth="1"/>
    <col min="11529" max="11529" width="13.796875" style="47" customWidth="1"/>
    <col min="11530" max="11530" width="16.796875" style="47" bestFit="1" customWidth="1"/>
    <col min="11531" max="11531" width="14.09765625" style="47" bestFit="1" customWidth="1"/>
    <col min="11532" max="11533" width="15.19921875" style="47" bestFit="1" customWidth="1"/>
    <col min="11534" max="11534" width="16.796875" style="47" bestFit="1" customWidth="1"/>
    <col min="11535" max="11535" width="13.3984375" style="47" customWidth="1"/>
    <col min="11536" max="11536" width="9.296875" style="47" customWidth="1"/>
    <col min="11537" max="11537" width="13.796875" style="47" customWidth="1"/>
    <col min="11538" max="11538" width="12.8984375" style="47" customWidth="1"/>
    <col min="11539" max="11539" width="13.09765625" style="47" customWidth="1"/>
    <col min="11540" max="11540" width="12.8984375" style="47" customWidth="1"/>
    <col min="11541" max="11541" width="17.3984375" style="47" customWidth="1"/>
    <col min="11542" max="11542" width="8.8984375" style="47" bestFit="1" customWidth="1"/>
    <col min="11543" max="11776" width="34.59765625" style="47"/>
    <col min="11777" max="11777" width="57.296875" style="47" customWidth="1"/>
    <col min="11778" max="11778" width="16.5" style="47" customWidth="1"/>
    <col min="11779" max="11779" width="13.8984375" style="47" customWidth="1"/>
    <col min="11780" max="11780" width="17.8984375" style="47" customWidth="1"/>
    <col min="11781" max="11781" width="15.19921875" style="47" bestFit="1" customWidth="1"/>
    <col min="11782" max="11782" width="16.796875" style="47" bestFit="1" customWidth="1"/>
    <col min="11783" max="11783" width="13.09765625" style="47" bestFit="1" customWidth="1"/>
    <col min="11784" max="11784" width="6.59765625" style="47" bestFit="1" customWidth="1"/>
    <col min="11785" max="11785" width="13.796875" style="47" customWidth="1"/>
    <col min="11786" max="11786" width="16.796875" style="47" bestFit="1" customWidth="1"/>
    <col min="11787" max="11787" width="14.09765625" style="47" bestFit="1" customWidth="1"/>
    <col min="11788" max="11789" width="15.19921875" style="47" bestFit="1" customWidth="1"/>
    <col min="11790" max="11790" width="16.796875" style="47" bestFit="1" customWidth="1"/>
    <col min="11791" max="11791" width="13.3984375" style="47" customWidth="1"/>
    <col min="11792" max="11792" width="9.296875" style="47" customWidth="1"/>
    <col min="11793" max="11793" width="13.796875" style="47" customWidth="1"/>
    <col min="11794" max="11794" width="12.8984375" style="47" customWidth="1"/>
    <col min="11795" max="11795" width="13.09765625" style="47" customWidth="1"/>
    <col min="11796" max="11796" width="12.8984375" style="47" customWidth="1"/>
    <col min="11797" max="11797" width="17.3984375" style="47" customWidth="1"/>
    <col min="11798" max="11798" width="8.8984375" style="47" bestFit="1" customWidth="1"/>
    <col min="11799" max="12032" width="34.59765625" style="47"/>
    <col min="12033" max="12033" width="57.296875" style="47" customWidth="1"/>
    <col min="12034" max="12034" width="16.5" style="47" customWidth="1"/>
    <col min="12035" max="12035" width="13.8984375" style="47" customWidth="1"/>
    <col min="12036" max="12036" width="17.8984375" style="47" customWidth="1"/>
    <col min="12037" max="12037" width="15.19921875" style="47" bestFit="1" customWidth="1"/>
    <col min="12038" max="12038" width="16.796875" style="47" bestFit="1" customWidth="1"/>
    <col min="12039" max="12039" width="13.09765625" style="47" bestFit="1" customWidth="1"/>
    <col min="12040" max="12040" width="6.59765625" style="47" bestFit="1" customWidth="1"/>
    <col min="12041" max="12041" width="13.796875" style="47" customWidth="1"/>
    <col min="12042" max="12042" width="16.796875" style="47" bestFit="1" customWidth="1"/>
    <col min="12043" max="12043" width="14.09765625" style="47" bestFit="1" customWidth="1"/>
    <col min="12044" max="12045" width="15.19921875" style="47" bestFit="1" customWidth="1"/>
    <col min="12046" max="12046" width="16.796875" style="47" bestFit="1" customWidth="1"/>
    <col min="12047" max="12047" width="13.3984375" style="47" customWidth="1"/>
    <col min="12048" max="12048" width="9.296875" style="47" customWidth="1"/>
    <col min="12049" max="12049" width="13.796875" style="47" customWidth="1"/>
    <col min="12050" max="12050" width="12.8984375" style="47" customWidth="1"/>
    <col min="12051" max="12051" width="13.09765625" style="47" customWidth="1"/>
    <col min="12052" max="12052" width="12.8984375" style="47" customWidth="1"/>
    <col min="12053" max="12053" width="17.3984375" style="47" customWidth="1"/>
    <col min="12054" max="12054" width="8.8984375" style="47" bestFit="1" customWidth="1"/>
    <col min="12055" max="12288" width="34.59765625" style="47"/>
    <col min="12289" max="12289" width="57.296875" style="47" customWidth="1"/>
    <col min="12290" max="12290" width="16.5" style="47" customWidth="1"/>
    <col min="12291" max="12291" width="13.8984375" style="47" customWidth="1"/>
    <col min="12292" max="12292" width="17.8984375" style="47" customWidth="1"/>
    <col min="12293" max="12293" width="15.19921875" style="47" bestFit="1" customWidth="1"/>
    <col min="12294" max="12294" width="16.796875" style="47" bestFit="1" customWidth="1"/>
    <col min="12295" max="12295" width="13.09765625" style="47" bestFit="1" customWidth="1"/>
    <col min="12296" max="12296" width="6.59765625" style="47" bestFit="1" customWidth="1"/>
    <col min="12297" max="12297" width="13.796875" style="47" customWidth="1"/>
    <col min="12298" max="12298" width="16.796875" style="47" bestFit="1" customWidth="1"/>
    <col min="12299" max="12299" width="14.09765625" style="47" bestFit="1" customWidth="1"/>
    <col min="12300" max="12301" width="15.19921875" style="47" bestFit="1" customWidth="1"/>
    <col min="12302" max="12302" width="16.796875" style="47" bestFit="1" customWidth="1"/>
    <col min="12303" max="12303" width="13.3984375" style="47" customWidth="1"/>
    <col min="12304" max="12304" width="9.296875" style="47" customWidth="1"/>
    <col min="12305" max="12305" width="13.796875" style="47" customWidth="1"/>
    <col min="12306" max="12306" width="12.8984375" style="47" customWidth="1"/>
    <col min="12307" max="12307" width="13.09765625" style="47" customWidth="1"/>
    <col min="12308" max="12308" width="12.8984375" style="47" customWidth="1"/>
    <col min="12309" max="12309" width="17.3984375" style="47" customWidth="1"/>
    <col min="12310" max="12310" width="8.8984375" style="47" bestFit="1" customWidth="1"/>
    <col min="12311" max="12544" width="34.59765625" style="47"/>
    <col min="12545" max="12545" width="57.296875" style="47" customWidth="1"/>
    <col min="12546" max="12546" width="16.5" style="47" customWidth="1"/>
    <col min="12547" max="12547" width="13.8984375" style="47" customWidth="1"/>
    <col min="12548" max="12548" width="17.8984375" style="47" customWidth="1"/>
    <col min="12549" max="12549" width="15.19921875" style="47" bestFit="1" customWidth="1"/>
    <col min="12550" max="12550" width="16.796875" style="47" bestFit="1" customWidth="1"/>
    <col min="12551" max="12551" width="13.09765625" style="47" bestFit="1" customWidth="1"/>
    <col min="12552" max="12552" width="6.59765625" style="47" bestFit="1" customWidth="1"/>
    <col min="12553" max="12553" width="13.796875" style="47" customWidth="1"/>
    <col min="12554" max="12554" width="16.796875" style="47" bestFit="1" customWidth="1"/>
    <col min="12555" max="12555" width="14.09765625" style="47" bestFit="1" customWidth="1"/>
    <col min="12556" max="12557" width="15.19921875" style="47" bestFit="1" customWidth="1"/>
    <col min="12558" max="12558" width="16.796875" style="47" bestFit="1" customWidth="1"/>
    <col min="12559" max="12559" width="13.3984375" style="47" customWidth="1"/>
    <col min="12560" max="12560" width="9.296875" style="47" customWidth="1"/>
    <col min="12561" max="12561" width="13.796875" style="47" customWidth="1"/>
    <col min="12562" max="12562" width="12.8984375" style="47" customWidth="1"/>
    <col min="12563" max="12563" width="13.09765625" style="47" customWidth="1"/>
    <col min="12564" max="12564" width="12.8984375" style="47" customWidth="1"/>
    <col min="12565" max="12565" width="17.3984375" style="47" customWidth="1"/>
    <col min="12566" max="12566" width="8.8984375" style="47" bestFit="1" customWidth="1"/>
    <col min="12567" max="12800" width="34.59765625" style="47"/>
    <col min="12801" max="12801" width="57.296875" style="47" customWidth="1"/>
    <col min="12802" max="12802" width="16.5" style="47" customWidth="1"/>
    <col min="12803" max="12803" width="13.8984375" style="47" customWidth="1"/>
    <col min="12804" max="12804" width="17.8984375" style="47" customWidth="1"/>
    <col min="12805" max="12805" width="15.19921875" style="47" bestFit="1" customWidth="1"/>
    <col min="12806" max="12806" width="16.796875" style="47" bestFit="1" customWidth="1"/>
    <col min="12807" max="12807" width="13.09765625" style="47" bestFit="1" customWidth="1"/>
    <col min="12808" max="12808" width="6.59765625" style="47" bestFit="1" customWidth="1"/>
    <col min="12809" max="12809" width="13.796875" style="47" customWidth="1"/>
    <col min="12810" max="12810" width="16.796875" style="47" bestFit="1" customWidth="1"/>
    <col min="12811" max="12811" width="14.09765625" style="47" bestFit="1" customWidth="1"/>
    <col min="12812" max="12813" width="15.19921875" style="47" bestFit="1" customWidth="1"/>
    <col min="12814" max="12814" width="16.796875" style="47" bestFit="1" customWidth="1"/>
    <col min="12815" max="12815" width="13.3984375" style="47" customWidth="1"/>
    <col min="12816" max="12816" width="9.296875" style="47" customWidth="1"/>
    <col min="12817" max="12817" width="13.796875" style="47" customWidth="1"/>
    <col min="12818" max="12818" width="12.8984375" style="47" customWidth="1"/>
    <col min="12819" max="12819" width="13.09765625" style="47" customWidth="1"/>
    <col min="12820" max="12820" width="12.8984375" style="47" customWidth="1"/>
    <col min="12821" max="12821" width="17.3984375" style="47" customWidth="1"/>
    <col min="12822" max="12822" width="8.8984375" style="47" bestFit="1" customWidth="1"/>
    <col min="12823" max="13056" width="34.59765625" style="47"/>
    <col min="13057" max="13057" width="57.296875" style="47" customWidth="1"/>
    <col min="13058" max="13058" width="16.5" style="47" customWidth="1"/>
    <col min="13059" max="13059" width="13.8984375" style="47" customWidth="1"/>
    <col min="13060" max="13060" width="17.8984375" style="47" customWidth="1"/>
    <col min="13061" max="13061" width="15.19921875" style="47" bestFit="1" customWidth="1"/>
    <col min="13062" max="13062" width="16.796875" style="47" bestFit="1" customWidth="1"/>
    <col min="13063" max="13063" width="13.09765625" style="47" bestFit="1" customWidth="1"/>
    <col min="13064" max="13064" width="6.59765625" style="47" bestFit="1" customWidth="1"/>
    <col min="13065" max="13065" width="13.796875" style="47" customWidth="1"/>
    <col min="13066" max="13066" width="16.796875" style="47" bestFit="1" customWidth="1"/>
    <col min="13067" max="13067" width="14.09765625" style="47" bestFit="1" customWidth="1"/>
    <col min="13068" max="13069" width="15.19921875" style="47" bestFit="1" customWidth="1"/>
    <col min="13070" max="13070" width="16.796875" style="47" bestFit="1" customWidth="1"/>
    <col min="13071" max="13071" width="13.3984375" style="47" customWidth="1"/>
    <col min="13072" max="13072" width="9.296875" style="47" customWidth="1"/>
    <col min="13073" max="13073" width="13.796875" style="47" customWidth="1"/>
    <col min="13074" max="13074" width="12.8984375" style="47" customWidth="1"/>
    <col min="13075" max="13075" width="13.09765625" style="47" customWidth="1"/>
    <col min="13076" max="13076" width="12.8984375" style="47" customWidth="1"/>
    <col min="13077" max="13077" width="17.3984375" style="47" customWidth="1"/>
    <col min="13078" max="13078" width="8.8984375" style="47" bestFit="1" customWidth="1"/>
    <col min="13079" max="13312" width="34.59765625" style="47"/>
    <col min="13313" max="13313" width="57.296875" style="47" customWidth="1"/>
    <col min="13314" max="13314" width="16.5" style="47" customWidth="1"/>
    <col min="13315" max="13315" width="13.8984375" style="47" customWidth="1"/>
    <col min="13316" max="13316" width="17.8984375" style="47" customWidth="1"/>
    <col min="13317" max="13317" width="15.19921875" style="47" bestFit="1" customWidth="1"/>
    <col min="13318" max="13318" width="16.796875" style="47" bestFit="1" customWidth="1"/>
    <col min="13319" max="13319" width="13.09765625" style="47" bestFit="1" customWidth="1"/>
    <col min="13320" max="13320" width="6.59765625" style="47" bestFit="1" customWidth="1"/>
    <col min="13321" max="13321" width="13.796875" style="47" customWidth="1"/>
    <col min="13322" max="13322" width="16.796875" style="47" bestFit="1" customWidth="1"/>
    <col min="13323" max="13323" width="14.09765625" style="47" bestFit="1" customWidth="1"/>
    <col min="13324" max="13325" width="15.19921875" style="47" bestFit="1" customWidth="1"/>
    <col min="13326" max="13326" width="16.796875" style="47" bestFit="1" customWidth="1"/>
    <col min="13327" max="13327" width="13.3984375" style="47" customWidth="1"/>
    <col min="13328" max="13328" width="9.296875" style="47" customWidth="1"/>
    <col min="13329" max="13329" width="13.796875" style="47" customWidth="1"/>
    <col min="13330" max="13330" width="12.8984375" style="47" customWidth="1"/>
    <col min="13331" max="13331" width="13.09765625" style="47" customWidth="1"/>
    <col min="13332" max="13332" width="12.8984375" style="47" customWidth="1"/>
    <col min="13333" max="13333" width="17.3984375" style="47" customWidth="1"/>
    <col min="13334" max="13334" width="8.8984375" style="47" bestFit="1" customWidth="1"/>
    <col min="13335" max="13568" width="34.59765625" style="47"/>
    <col min="13569" max="13569" width="57.296875" style="47" customWidth="1"/>
    <col min="13570" max="13570" width="16.5" style="47" customWidth="1"/>
    <col min="13571" max="13571" width="13.8984375" style="47" customWidth="1"/>
    <col min="13572" max="13572" width="17.8984375" style="47" customWidth="1"/>
    <col min="13573" max="13573" width="15.19921875" style="47" bestFit="1" customWidth="1"/>
    <col min="13574" max="13574" width="16.796875" style="47" bestFit="1" customWidth="1"/>
    <col min="13575" max="13575" width="13.09765625" style="47" bestFit="1" customWidth="1"/>
    <col min="13576" max="13576" width="6.59765625" style="47" bestFit="1" customWidth="1"/>
    <col min="13577" max="13577" width="13.796875" style="47" customWidth="1"/>
    <col min="13578" max="13578" width="16.796875" style="47" bestFit="1" customWidth="1"/>
    <col min="13579" max="13579" width="14.09765625" style="47" bestFit="1" customWidth="1"/>
    <col min="13580" max="13581" width="15.19921875" style="47" bestFit="1" customWidth="1"/>
    <col min="13582" max="13582" width="16.796875" style="47" bestFit="1" customWidth="1"/>
    <col min="13583" max="13583" width="13.3984375" style="47" customWidth="1"/>
    <col min="13584" max="13584" width="9.296875" style="47" customWidth="1"/>
    <col min="13585" max="13585" width="13.796875" style="47" customWidth="1"/>
    <col min="13586" max="13586" width="12.8984375" style="47" customWidth="1"/>
    <col min="13587" max="13587" width="13.09765625" style="47" customWidth="1"/>
    <col min="13588" max="13588" width="12.8984375" style="47" customWidth="1"/>
    <col min="13589" max="13589" width="17.3984375" style="47" customWidth="1"/>
    <col min="13590" max="13590" width="8.8984375" style="47" bestFit="1" customWidth="1"/>
    <col min="13591" max="13824" width="34.59765625" style="47"/>
    <col min="13825" max="13825" width="57.296875" style="47" customWidth="1"/>
    <col min="13826" max="13826" width="16.5" style="47" customWidth="1"/>
    <col min="13827" max="13827" width="13.8984375" style="47" customWidth="1"/>
    <col min="13828" max="13828" width="17.8984375" style="47" customWidth="1"/>
    <col min="13829" max="13829" width="15.19921875" style="47" bestFit="1" customWidth="1"/>
    <col min="13830" max="13830" width="16.796875" style="47" bestFit="1" customWidth="1"/>
    <col min="13831" max="13831" width="13.09765625" style="47" bestFit="1" customWidth="1"/>
    <col min="13832" max="13832" width="6.59765625" style="47" bestFit="1" customWidth="1"/>
    <col min="13833" max="13833" width="13.796875" style="47" customWidth="1"/>
    <col min="13834" max="13834" width="16.796875" style="47" bestFit="1" customWidth="1"/>
    <col min="13835" max="13835" width="14.09765625" style="47" bestFit="1" customWidth="1"/>
    <col min="13836" max="13837" width="15.19921875" style="47" bestFit="1" customWidth="1"/>
    <col min="13838" max="13838" width="16.796875" style="47" bestFit="1" customWidth="1"/>
    <col min="13839" max="13839" width="13.3984375" style="47" customWidth="1"/>
    <col min="13840" max="13840" width="9.296875" style="47" customWidth="1"/>
    <col min="13841" max="13841" width="13.796875" style="47" customWidth="1"/>
    <col min="13842" max="13842" width="12.8984375" style="47" customWidth="1"/>
    <col min="13843" max="13843" width="13.09765625" style="47" customWidth="1"/>
    <col min="13844" max="13844" width="12.8984375" style="47" customWidth="1"/>
    <col min="13845" max="13845" width="17.3984375" style="47" customWidth="1"/>
    <col min="13846" max="13846" width="8.8984375" style="47" bestFit="1" customWidth="1"/>
    <col min="13847" max="14080" width="34.59765625" style="47"/>
    <col min="14081" max="14081" width="57.296875" style="47" customWidth="1"/>
    <col min="14082" max="14082" width="16.5" style="47" customWidth="1"/>
    <col min="14083" max="14083" width="13.8984375" style="47" customWidth="1"/>
    <col min="14084" max="14084" width="17.8984375" style="47" customWidth="1"/>
    <col min="14085" max="14085" width="15.19921875" style="47" bestFit="1" customWidth="1"/>
    <col min="14086" max="14086" width="16.796875" style="47" bestFit="1" customWidth="1"/>
    <col min="14087" max="14087" width="13.09765625" style="47" bestFit="1" customWidth="1"/>
    <col min="14088" max="14088" width="6.59765625" style="47" bestFit="1" customWidth="1"/>
    <col min="14089" max="14089" width="13.796875" style="47" customWidth="1"/>
    <col min="14090" max="14090" width="16.796875" style="47" bestFit="1" customWidth="1"/>
    <col min="14091" max="14091" width="14.09765625" style="47" bestFit="1" customWidth="1"/>
    <col min="14092" max="14093" width="15.19921875" style="47" bestFit="1" customWidth="1"/>
    <col min="14094" max="14094" width="16.796875" style="47" bestFit="1" customWidth="1"/>
    <col min="14095" max="14095" width="13.3984375" style="47" customWidth="1"/>
    <col min="14096" max="14096" width="9.296875" style="47" customWidth="1"/>
    <col min="14097" max="14097" width="13.796875" style="47" customWidth="1"/>
    <col min="14098" max="14098" width="12.8984375" style="47" customWidth="1"/>
    <col min="14099" max="14099" width="13.09765625" style="47" customWidth="1"/>
    <col min="14100" max="14100" width="12.8984375" style="47" customWidth="1"/>
    <col min="14101" max="14101" width="17.3984375" style="47" customWidth="1"/>
    <col min="14102" max="14102" width="8.8984375" style="47" bestFit="1" customWidth="1"/>
    <col min="14103" max="14336" width="34.59765625" style="47"/>
    <col min="14337" max="14337" width="57.296875" style="47" customWidth="1"/>
    <col min="14338" max="14338" width="16.5" style="47" customWidth="1"/>
    <col min="14339" max="14339" width="13.8984375" style="47" customWidth="1"/>
    <col min="14340" max="14340" width="17.8984375" style="47" customWidth="1"/>
    <col min="14341" max="14341" width="15.19921875" style="47" bestFit="1" customWidth="1"/>
    <col min="14342" max="14342" width="16.796875" style="47" bestFit="1" customWidth="1"/>
    <col min="14343" max="14343" width="13.09765625" style="47" bestFit="1" customWidth="1"/>
    <col min="14344" max="14344" width="6.59765625" style="47" bestFit="1" customWidth="1"/>
    <col min="14345" max="14345" width="13.796875" style="47" customWidth="1"/>
    <col min="14346" max="14346" width="16.796875" style="47" bestFit="1" customWidth="1"/>
    <col min="14347" max="14347" width="14.09765625" style="47" bestFit="1" customWidth="1"/>
    <col min="14348" max="14349" width="15.19921875" style="47" bestFit="1" customWidth="1"/>
    <col min="14350" max="14350" width="16.796875" style="47" bestFit="1" customWidth="1"/>
    <col min="14351" max="14351" width="13.3984375" style="47" customWidth="1"/>
    <col min="14352" max="14352" width="9.296875" style="47" customWidth="1"/>
    <col min="14353" max="14353" width="13.796875" style="47" customWidth="1"/>
    <col min="14354" max="14354" width="12.8984375" style="47" customWidth="1"/>
    <col min="14355" max="14355" width="13.09765625" style="47" customWidth="1"/>
    <col min="14356" max="14356" width="12.8984375" style="47" customWidth="1"/>
    <col min="14357" max="14357" width="17.3984375" style="47" customWidth="1"/>
    <col min="14358" max="14358" width="8.8984375" style="47" bestFit="1" customWidth="1"/>
    <col min="14359" max="14592" width="34.59765625" style="47"/>
    <col min="14593" max="14593" width="57.296875" style="47" customWidth="1"/>
    <col min="14594" max="14594" width="16.5" style="47" customWidth="1"/>
    <col min="14595" max="14595" width="13.8984375" style="47" customWidth="1"/>
    <col min="14596" max="14596" width="17.8984375" style="47" customWidth="1"/>
    <col min="14597" max="14597" width="15.19921875" style="47" bestFit="1" customWidth="1"/>
    <col min="14598" max="14598" width="16.796875" style="47" bestFit="1" customWidth="1"/>
    <col min="14599" max="14599" width="13.09765625" style="47" bestFit="1" customWidth="1"/>
    <col min="14600" max="14600" width="6.59765625" style="47" bestFit="1" customWidth="1"/>
    <col min="14601" max="14601" width="13.796875" style="47" customWidth="1"/>
    <col min="14602" max="14602" width="16.796875" style="47" bestFit="1" customWidth="1"/>
    <col min="14603" max="14603" width="14.09765625" style="47" bestFit="1" customWidth="1"/>
    <col min="14604" max="14605" width="15.19921875" style="47" bestFit="1" customWidth="1"/>
    <col min="14606" max="14606" width="16.796875" style="47" bestFit="1" customWidth="1"/>
    <col min="14607" max="14607" width="13.3984375" style="47" customWidth="1"/>
    <col min="14608" max="14608" width="9.296875" style="47" customWidth="1"/>
    <col min="14609" max="14609" width="13.796875" style="47" customWidth="1"/>
    <col min="14610" max="14610" width="12.8984375" style="47" customWidth="1"/>
    <col min="14611" max="14611" width="13.09765625" style="47" customWidth="1"/>
    <col min="14612" max="14612" width="12.8984375" style="47" customWidth="1"/>
    <col min="14613" max="14613" width="17.3984375" style="47" customWidth="1"/>
    <col min="14614" max="14614" width="8.8984375" style="47" bestFit="1" customWidth="1"/>
    <col min="14615" max="14848" width="34.59765625" style="47"/>
    <col min="14849" max="14849" width="57.296875" style="47" customWidth="1"/>
    <col min="14850" max="14850" width="16.5" style="47" customWidth="1"/>
    <col min="14851" max="14851" width="13.8984375" style="47" customWidth="1"/>
    <col min="14852" max="14852" width="17.8984375" style="47" customWidth="1"/>
    <col min="14853" max="14853" width="15.19921875" style="47" bestFit="1" customWidth="1"/>
    <col min="14854" max="14854" width="16.796875" style="47" bestFit="1" customWidth="1"/>
    <col min="14855" max="14855" width="13.09765625" style="47" bestFit="1" customWidth="1"/>
    <col min="14856" max="14856" width="6.59765625" style="47" bestFit="1" customWidth="1"/>
    <col min="14857" max="14857" width="13.796875" style="47" customWidth="1"/>
    <col min="14858" max="14858" width="16.796875" style="47" bestFit="1" customWidth="1"/>
    <col min="14859" max="14859" width="14.09765625" style="47" bestFit="1" customWidth="1"/>
    <col min="14860" max="14861" width="15.19921875" style="47" bestFit="1" customWidth="1"/>
    <col min="14862" max="14862" width="16.796875" style="47" bestFit="1" customWidth="1"/>
    <col min="14863" max="14863" width="13.3984375" style="47" customWidth="1"/>
    <col min="14864" max="14864" width="9.296875" style="47" customWidth="1"/>
    <col min="14865" max="14865" width="13.796875" style="47" customWidth="1"/>
    <col min="14866" max="14866" width="12.8984375" style="47" customWidth="1"/>
    <col min="14867" max="14867" width="13.09765625" style="47" customWidth="1"/>
    <col min="14868" max="14868" width="12.8984375" style="47" customWidth="1"/>
    <col min="14869" max="14869" width="17.3984375" style="47" customWidth="1"/>
    <col min="14870" max="14870" width="8.8984375" style="47" bestFit="1" customWidth="1"/>
    <col min="14871" max="15104" width="34.59765625" style="47"/>
    <col min="15105" max="15105" width="57.296875" style="47" customWidth="1"/>
    <col min="15106" max="15106" width="16.5" style="47" customWidth="1"/>
    <col min="15107" max="15107" width="13.8984375" style="47" customWidth="1"/>
    <col min="15108" max="15108" width="17.8984375" style="47" customWidth="1"/>
    <col min="15109" max="15109" width="15.19921875" style="47" bestFit="1" customWidth="1"/>
    <col min="15110" max="15110" width="16.796875" style="47" bestFit="1" customWidth="1"/>
    <col min="15111" max="15111" width="13.09765625" style="47" bestFit="1" customWidth="1"/>
    <col min="15112" max="15112" width="6.59765625" style="47" bestFit="1" customWidth="1"/>
    <col min="15113" max="15113" width="13.796875" style="47" customWidth="1"/>
    <col min="15114" max="15114" width="16.796875" style="47" bestFit="1" customWidth="1"/>
    <col min="15115" max="15115" width="14.09765625" style="47" bestFit="1" customWidth="1"/>
    <col min="15116" max="15117" width="15.19921875" style="47" bestFit="1" customWidth="1"/>
    <col min="15118" max="15118" width="16.796875" style="47" bestFit="1" customWidth="1"/>
    <col min="15119" max="15119" width="13.3984375" style="47" customWidth="1"/>
    <col min="15120" max="15120" width="9.296875" style="47" customWidth="1"/>
    <col min="15121" max="15121" width="13.796875" style="47" customWidth="1"/>
    <col min="15122" max="15122" width="12.8984375" style="47" customWidth="1"/>
    <col min="15123" max="15123" width="13.09765625" style="47" customWidth="1"/>
    <col min="15124" max="15124" width="12.8984375" style="47" customWidth="1"/>
    <col min="15125" max="15125" width="17.3984375" style="47" customWidth="1"/>
    <col min="15126" max="15126" width="8.8984375" style="47" bestFit="1" customWidth="1"/>
    <col min="15127" max="15360" width="34.59765625" style="47"/>
    <col min="15361" max="15361" width="57.296875" style="47" customWidth="1"/>
    <col min="15362" max="15362" width="16.5" style="47" customWidth="1"/>
    <col min="15363" max="15363" width="13.8984375" style="47" customWidth="1"/>
    <col min="15364" max="15364" width="17.8984375" style="47" customWidth="1"/>
    <col min="15365" max="15365" width="15.19921875" style="47" bestFit="1" customWidth="1"/>
    <col min="15366" max="15366" width="16.796875" style="47" bestFit="1" customWidth="1"/>
    <col min="15367" max="15367" width="13.09765625" style="47" bestFit="1" customWidth="1"/>
    <col min="15368" max="15368" width="6.59765625" style="47" bestFit="1" customWidth="1"/>
    <col min="15369" max="15369" width="13.796875" style="47" customWidth="1"/>
    <col min="15370" max="15370" width="16.796875" style="47" bestFit="1" customWidth="1"/>
    <col min="15371" max="15371" width="14.09765625" style="47" bestFit="1" customWidth="1"/>
    <col min="15372" max="15373" width="15.19921875" style="47" bestFit="1" customWidth="1"/>
    <col min="15374" max="15374" width="16.796875" style="47" bestFit="1" customWidth="1"/>
    <col min="15375" max="15375" width="13.3984375" style="47" customWidth="1"/>
    <col min="15376" max="15376" width="9.296875" style="47" customWidth="1"/>
    <col min="15377" max="15377" width="13.796875" style="47" customWidth="1"/>
    <col min="15378" max="15378" width="12.8984375" style="47" customWidth="1"/>
    <col min="15379" max="15379" width="13.09765625" style="47" customWidth="1"/>
    <col min="15380" max="15380" width="12.8984375" style="47" customWidth="1"/>
    <col min="15381" max="15381" width="17.3984375" style="47" customWidth="1"/>
    <col min="15382" max="15382" width="8.8984375" style="47" bestFit="1" customWidth="1"/>
    <col min="15383" max="15616" width="34.59765625" style="47"/>
    <col min="15617" max="15617" width="57.296875" style="47" customWidth="1"/>
    <col min="15618" max="15618" width="16.5" style="47" customWidth="1"/>
    <col min="15619" max="15619" width="13.8984375" style="47" customWidth="1"/>
    <col min="15620" max="15620" width="17.8984375" style="47" customWidth="1"/>
    <col min="15621" max="15621" width="15.19921875" style="47" bestFit="1" customWidth="1"/>
    <col min="15622" max="15622" width="16.796875" style="47" bestFit="1" customWidth="1"/>
    <col min="15623" max="15623" width="13.09765625" style="47" bestFit="1" customWidth="1"/>
    <col min="15624" max="15624" width="6.59765625" style="47" bestFit="1" customWidth="1"/>
    <col min="15625" max="15625" width="13.796875" style="47" customWidth="1"/>
    <col min="15626" max="15626" width="16.796875" style="47" bestFit="1" customWidth="1"/>
    <col min="15627" max="15627" width="14.09765625" style="47" bestFit="1" customWidth="1"/>
    <col min="15628" max="15629" width="15.19921875" style="47" bestFit="1" customWidth="1"/>
    <col min="15630" max="15630" width="16.796875" style="47" bestFit="1" customWidth="1"/>
    <col min="15631" max="15631" width="13.3984375" style="47" customWidth="1"/>
    <col min="15632" max="15632" width="9.296875" style="47" customWidth="1"/>
    <col min="15633" max="15633" width="13.796875" style="47" customWidth="1"/>
    <col min="15634" max="15634" width="12.8984375" style="47" customWidth="1"/>
    <col min="15635" max="15635" width="13.09765625" style="47" customWidth="1"/>
    <col min="15636" max="15636" width="12.8984375" style="47" customWidth="1"/>
    <col min="15637" max="15637" width="17.3984375" style="47" customWidth="1"/>
    <col min="15638" max="15638" width="8.8984375" style="47" bestFit="1" customWidth="1"/>
    <col min="15639" max="15872" width="34.59765625" style="47"/>
    <col min="15873" max="15873" width="57.296875" style="47" customWidth="1"/>
    <col min="15874" max="15874" width="16.5" style="47" customWidth="1"/>
    <col min="15875" max="15875" width="13.8984375" style="47" customWidth="1"/>
    <col min="15876" max="15876" width="17.8984375" style="47" customWidth="1"/>
    <col min="15877" max="15877" width="15.19921875" style="47" bestFit="1" customWidth="1"/>
    <col min="15878" max="15878" width="16.796875" style="47" bestFit="1" customWidth="1"/>
    <col min="15879" max="15879" width="13.09765625" style="47" bestFit="1" customWidth="1"/>
    <col min="15880" max="15880" width="6.59765625" style="47" bestFit="1" customWidth="1"/>
    <col min="15881" max="15881" width="13.796875" style="47" customWidth="1"/>
    <col min="15882" max="15882" width="16.796875" style="47" bestFit="1" customWidth="1"/>
    <col min="15883" max="15883" width="14.09765625" style="47" bestFit="1" customWidth="1"/>
    <col min="15884" max="15885" width="15.19921875" style="47" bestFit="1" customWidth="1"/>
    <col min="15886" max="15886" width="16.796875" style="47" bestFit="1" customWidth="1"/>
    <col min="15887" max="15887" width="13.3984375" style="47" customWidth="1"/>
    <col min="15888" max="15888" width="9.296875" style="47" customWidth="1"/>
    <col min="15889" max="15889" width="13.796875" style="47" customWidth="1"/>
    <col min="15890" max="15890" width="12.8984375" style="47" customWidth="1"/>
    <col min="15891" max="15891" width="13.09765625" style="47" customWidth="1"/>
    <col min="15892" max="15892" width="12.8984375" style="47" customWidth="1"/>
    <col min="15893" max="15893" width="17.3984375" style="47" customWidth="1"/>
    <col min="15894" max="15894" width="8.8984375" style="47" bestFit="1" customWidth="1"/>
    <col min="15895" max="16128" width="34.59765625" style="47"/>
    <col min="16129" max="16129" width="57.296875" style="47" customWidth="1"/>
    <col min="16130" max="16130" width="16.5" style="47" customWidth="1"/>
    <col min="16131" max="16131" width="13.8984375" style="47" customWidth="1"/>
    <col min="16132" max="16132" width="17.8984375" style="47" customWidth="1"/>
    <col min="16133" max="16133" width="15.19921875" style="47" bestFit="1" customWidth="1"/>
    <col min="16134" max="16134" width="16.796875" style="47" bestFit="1" customWidth="1"/>
    <col min="16135" max="16135" width="13.09765625" style="47" bestFit="1" customWidth="1"/>
    <col min="16136" max="16136" width="6.59765625" style="47" bestFit="1" customWidth="1"/>
    <col min="16137" max="16137" width="13.796875" style="47" customWidth="1"/>
    <col min="16138" max="16138" width="16.796875" style="47" bestFit="1" customWidth="1"/>
    <col min="16139" max="16139" width="14.09765625" style="47" bestFit="1" customWidth="1"/>
    <col min="16140" max="16141" width="15.19921875" style="47" bestFit="1" customWidth="1"/>
    <col min="16142" max="16142" width="16.796875" style="47" bestFit="1" customWidth="1"/>
    <col min="16143" max="16143" width="13.3984375" style="47" customWidth="1"/>
    <col min="16144" max="16144" width="9.296875" style="47" customWidth="1"/>
    <col min="16145" max="16145" width="13.796875" style="47" customWidth="1"/>
    <col min="16146" max="16146" width="12.8984375" style="47" customWidth="1"/>
    <col min="16147" max="16147" width="13.09765625" style="47" customWidth="1"/>
    <col min="16148" max="16148" width="12.8984375" style="47" customWidth="1"/>
    <col min="16149" max="16149" width="17.3984375" style="47" customWidth="1"/>
    <col min="16150" max="16150" width="8.8984375" style="47" bestFit="1" customWidth="1"/>
    <col min="16151" max="16384" width="34.59765625" style="47"/>
  </cols>
  <sheetData>
    <row r="1" spans="1:22" s="55" customFormat="1" ht="23.4" x14ac:dyDescent="0.45">
      <c r="A1" s="601" t="s">
        <v>6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</row>
    <row r="2" spans="1:22" s="55" customFormat="1" ht="23.4" x14ac:dyDescent="0.45">
      <c r="A2" s="601" t="s">
        <v>0</v>
      </c>
      <c r="B2" s="601"/>
      <c r="C2" s="601"/>
      <c r="D2" s="601"/>
      <c r="E2" s="601"/>
      <c r="F2" s="601"/>
      <c r="G2" s="601"/>
      <c r="H2" s="601"/>
      <c r="I2" s="601"/>
      <c r="J2" s="601"/>
      <c r="K2" s="601"/>
      <c r="L2" s="601"/>
      <c r="M2" s="601"/>
      <c r="N2" s="601"/>
      <c r="O2" s="601"/>
      <c r="P2" s="601"/>
      <c r="Q2" s="601"/>
      <c r="R2" s="601"/>
      <c r="S2" s="601"/>
      <c r="T2" s="601"/>
    </row>
    <row r="3" spans="1:22" s="55" customFormat="1" ht="23.4" x14ac:dyDescent="0.45">
      <c r="A3" s="601" t="s">
        <v>39</v>
      </c>
      <c r="B3" s="601"/>
      <c r="C3" s="601"/>
      <c r="D3" s="601"/>
      <c r="E3" s="601"/>
      <c r="F3" s="601"/>
      <c r="G3" s="601"/>
      <c r="H3" s="601"/>
      <c r="I3" s="601"/>
      <c r="J3" s="601"/>
      <c r="K3" s="601"/>
      <c r="L3" s="601"/>
      <c r="M3" s="601"/>
      <c r="N3" s="601"/>
      <c r="O3" s="601"/>
      <c r="P3" s="601"/>
      <c r="Q3" s="601"/>
      <c r="R3" s="601"/>
      <c r="S3" s="601"/>
      <c r="T3" s="601"/>
    </row>
    <row r="4" spans="1:22" s="55" customFormat="1" ht="23.4" x14ac:dyDescent="0.45">
      <c r="A4" s="601" t="s">
        <v>177</v>
      </c>
      <c r="B4" s="601"/>
      <c r="C4" s="601"/>
      <c r="D4" s="601"/>
      <c r="E4" s="601"/>
      <c r="F4" s="601"/>
      <c r="G4" s="601"/>
      <c r="H4" s="601"/>
      <c r="I4" s="601"/>
      <c r="J4" s="601"/>
      <c r="K4" s="601"/>
      <c r="L4" s="601"/>
      <c r="M4" s="601"/>
      <c r="N4" s="601"/>
      <c r="O4" s="601"/>
      <c r="P4" s="601"/>
      <c r="Q4" s="601"/>
      <c r="R4" s="601"/>
      <c r="S4" s="601"/>
      <c r="T4" s="601"/>
    </row>
    <row r="5" spans="1:22" s="55" customFormat="1" ht="23.4" x14ac:dyDescent="0.45">
      <c r="P5" s="412"/>
    </row>
    <row r="6" spans="1:22" s="55" customFormat="1" ht="23.4" x14ac:dyDescent="0.45">
      <c r="A6" s="413" t="s">
        <v>212</v>
      </c>
      <c r="P6" s="412"/>
    </row>
    <row r="7" spans="1:22" s="36" customFormat="1" x14ac:dyDescent="0.4">
      <c r="A7" s="414"/>
      <c r="P7" s="415"/>
    </row>
    <row r="8" spans="1:22" s="100" customFormat="1" ht="25.8" x14ac:dyDescent="0.5">
      <c r="A8" s="593" t="s">
        <v>141</v>
      </c>
      <c r="B8" s="594"/>
      <c r="C8" s="594"/>
      <c r="D8" s="594"/>
      <c r="E8" s="594"/>
      <c r="F8" s="594"/>
      <c r="G8" s="594"/>
      <c r="H8" s="594"/>
      <c r="I8" s="595"/>
      <c r="J8" s="594" t="s">
        <v>179</v>
      </c>
      <c r="K8" s="594"/>
      <c r="L8" s="594"/>
      <c r="M8" s="594"/>
      <c r="N8" s="594"/>
      <c r="O8" s="594"/>
      <c r="P8" s="594"/>
      <c r="Q8" s="595"/>
      <c r="R8" s="593" t="s">
        <v>142</v>
      </c>
      <c r="S8" s="594"/>
      <c r="T8" s="595"/>
    </row>
    <row r="9" spans="1:22" s="415" customFormat="1" x14ac:dyDescent="0.4">
      <c r="A9" s="368" t="s">
        <v>128</v>
      </c>
      <c r="B9" s="368" t="s">
        <v>90</v>
      </c>
      <c r="C9" s="368" t="s">
        <v>91</v>
      </c>
      <c r="D9" s="368" t="s">
        <v>4</v>
      </c>
      <c r="E9" s="368" t="s">
        <v>143</v>
      </c>
      <c r="F9" s="368" t="s">
        <v>144</v>
      </c>
      <c r="G9" s="368" t="s">
        <v>94</v>
      </c>
      <c r="H9" s="368" t="s">
        <v>145</v>
      </c>
      <c r="I9" s="368" t="s">
        <v>144</v>
      </c>
      <c r="J9" s="368" t="s">
        <v>90</v>
      </c>
      <c r="K9" s="368" t="s">
        <v>91</v>
      </c>
      <c r="L9" s="368" t="s">
        <v>4</v>
      </c>
      <c r="M9" s="368" t="s">
        <v>143</v>
      </c>
      <c r="N9" s="368" t="s">
        <v>144</v>
      </c>
      <c r="O9" s="368" t="s">
        <v>94</v>
      </c>
      <c r="P9" s="368" t="s">
        <v>145</v>
      </c>
      <c r="Q9" s="368" t="s">
        <v>144</v>
      </c>
      <c r="R9" s="368" t="s">
        <v>144</v>
      </c>
      <c r="S9" s="368" t="s">
        <v>145</v>
      </c>
      <c r="T9" s="368" t="s">
        <v>144</v>
      </c>
    </row>
    <row r="10" spans="1:22" s="415" customFormat="1" x14ac:dyDescent="0.4">
      <c r="A10" s="42"/>
      <c r="B10" s="42" t="s">
        <v>146</v>
      </c>
      <c r="C10" s="42" t="s">
        <v>146</v>
      </c>
      <c r="D10" s="42"/>
      <c r="E10" s="42" t="s">
        <v>147</v>
      </c>
      <c r="F10" s="42" t="s">
        <v>5</v>
      </c>
      <c r="G10" s="42"/>
      <c r="H10" s="42" t="s">
        <v>148</v>
      </c>
      <c r="I10" s="42" t="s">
        <v>149</v>
      </c>
      <c r="J10" s="42" t="s">
        <v>146</v>
      </c>
      <c r="K10" s="42" t="s">
        <v>146</v>
      </c>
      <c r="L10" s="42"/>
      <c r="M10" s="42" t="s">
        <v>147</v>
      </c>
      <c r="N10" s="42" t="s">
        <v>5</v>
      </c>
      <c r="O10" s="42"/>
      <c r="P10" s="42" t="s">
        <v>148</v>
      </c>
      <c r="Q10" s="42" t="s">
        <v>149</v>
      </c>
      <c r="R10" s="42" t="s">
        <v>5</v>
      </c>
      <c r="S10" s="42" t="s">
        <v>148</v>
      </c>
      <c r="T10" s="42" t="s">
        <v>149</v>
      </c>
    </row>
    <row r="11" spans="1:22" s="415" customFormat="1" x14ac:dyDescent="0.4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 t="s">
        <v>182</v>
      </c>
      <c r="S11" s="42" t="s">
        <v>182</v>
      </c>
      <c r="T11" s="42" t="s">
        <v>182</v>
      </c>
    </row>
    <row r="12" spans="1:22" s="416" customFormat="1" x14ac:dyDescent="0.4">
      <c r="A12" s="292"/>
      <c r="B12" s="292"/>
      <c r="C12" s="292"/>
      <c r="D12" s="292"/>
      <c r="E12" s="292"/>
      <c r="F12" s="292"/>
      <c r="G12" s="292"/>
      <c r="H12" s="292"/>
      <c r="I12" s="292"/>
      <c r="J12" s="42">
        <v>31499794.678431999</v>
      </c>
      <c r="K12" s="42">
        <v>179713.28445800001</v>
      </c>
      <c r="L12" s="42">
        <v>1588493.1574380002</v>
      </c>
      <c r="M12" s="42">
        <v>4091543.409986</v>
      </c>
      <c r="N12" s="42">
        <v>76847164.38197501</v>
      </c>
      <c r="O12" s="320"/>
      <c r="P12" s="292"/>
      <c r="Q12" s="292"/>
      <c r="R12" s="292" t="s">
        <v>150</v>
      </c>
      <c r="S12" s="292" t="s">
        <v>150</v>
      </c>
      <c r="T12" s="292" t="s">
        <v>150</v>
      </c>
    </row>
    <row r="13" spans="1:22" s="416" customFormat="1" x14ac:dyDescent="0.4">
      <c r="A13" s="417" t="s">
        <v>151</v>
      </c>
      <c r="B13" s="417" t="s">
        <v>152</v>
      </c>
      <c r="C13" s="417" t="s">
        <v>153</v>
      </c>
      <c r="D13" s="417" t="s">
        <v>154</v>
      </c>
      <c r="E13" s="417" t="s">
        <v>155</v>
      </c>
      <c r="F13" s="417" t="s">
        <v>156</v>
      </c>
      <c r="G13" s="367" t="s">
        <v>157</v>
      </c>
      <c r="H13" s="417" t="s">
        <v>158</v>
      </c>
      <c r="I13" s="417" t="s">
        <v>159</v>
      </c>
      <c r="J13" s="417" t="s">
        <v>160</v>
      </c>
      <c r="K13" s="417" t="s">
        <v>161</v>
      </c>
      <c r="L13" s="417" t="s">
        <v>162</v>
      </c>
      <c r="M13" s="417" t="s">
        <v>163</v>
      </c>
      <c r="N13" s="367" t="s">
        <v>184</v>
      </c>
      <c r="O13" s="417" t="s">
        <v>165</v>
      </c>
      <c r="P13" s="417" t="s">
        <v>166</v>
      </c>
      <c r="Q13" s="417" t="s">
        <v>167</v>
      </c>
      <c r="R13" s="441" t="s">
        <v>168</v>
      </c>
      <c r="S13" s="441" t="s">
        <v>169</v>
      </c>
      <c r="T13" s="441" t="s">
        <v>170</v>
      </c>
    </row>
    <row r="14" spans="1:22" x14ac:dyDescent="0.4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382"/>
      <c r="Q14" s="46"/>
      <c r="R14" s="442" t="s">
        <v>171</v>
      </c>
      <c r="S14" s="442" t="s">
        <v>172</v>
      </c>
      <c r="T14" s="442" t="s">
        <v>173</v>
      </c>
    </row>
    <row r="15" spans="1:22" x14ac:dyDescent="0.4">
      <c r="A15" s="353" t="s">
        <v>129</v>
      </c>
      <c r="B15" s="383">
        <v>18951033.510000002</v>
      </c>
      <c r="C15" s="383">
        <v>138244.93</v>
      </c>
      <c r="D15" s="383">
        <v>1259755.31</v>
      </c>
      <c r="E15" s="383">
        <v>2719599.91</v>
      </c>
      <c r="F15" s="383">
        <f>SUM(B15:E15)</f>
        <v>23068633.66</v>
      </c>
      <c r="G15" s="384">
        <v>867</v>
      </c>
      <c r="H15" s="49" t="s">
        <v>100</v>
      </c>
      <c r="I15" s="383">
        <f>+F15/G15</f>
        <v>26607.420599769321</v>
      </c>
      <c r="J15" s="349">
        <f>'ตารางที่ 6 ส่ง'!B8</f>
        <v>16565931.917860001</v>
      </c>
      <c r="K15" s="349">
        <f>'ตารางที่ 6 ส่ง'!C8</f>
        <v>34210.781799999997</v>
      </c>
      <c r="L15" s="349">
        <f>'ตารางที่ 6 ส่ง'!D8</f>
        <v>633080.47022999998</v>
      </c>
      <c r="M15" s="349">
        <f>'ตารางที่ 6 ส่ง'!E8</f>
        <v>1931467.0608349999</v>
      </c>
      <c r="N15" s="387">
        <f>SUM(J15:M15)</f>
        <v>19164690.230725002</v>
      </c>
      <c r="O15" s="514">
        <f>'ตารางที่ 6 ส่ง'!G8</f>
        <v>800</v>
      </c>
      <c r="P15" s="330" t="s">
        <v>100</v>
      </c>
      <c r="Q15" s="49">
        <f t="shared" ref="Q15:Q20" si="0">+N15/O15</f>
        <v>23955.862788406252</v>
      </c>
      <c r="R15" s="528">
        <f t="shared" ref="R15:R31" si="1">SUM(N15-F15)*100/F15</f>
        <v>-16.923167131672241</v>
      </c>
      <c r="S15" s="528">
        <f>SUM(O15-G15)*100/G15</f>
        <v>-7.7277970011534025</v>
      </c>
      <c r="T15" s="528">
        <f>SUM(Q15-I15)*100/I15</f>
        <v>-9.9654823789497939</v>
      </c>
      <c r="V15" s="80"/>
    </row>
    <row r="16" spans="1:22" ht="23.4" x14ac:dyDescent="0.45">
      <c r="A16" s="418" t="s">
        <v>338</v>
      </c>
      <c r="B16" s="49">
        <v>570236598.38999999</v>
      </c>
      <c r="C16" s="49">
        <v>4159789.98</v>
      </c>
      <c r="D16" s="49">
        <v>37906037.359999999</v>
      </c>
      <c r="E16" s="49">
        <v>81832761.239999995</v>
      </c>
      <c r="F16" s="383">
        <f>SUM(B16:E16)</f>
        <v>694135186.97000003</v>
      </c>
      <c r="G16" s="419">
        <v>177382</v>
      </c>
      <c r="H16" s="330" t="s">
        <v>100</v>
      </c>
      <c r="I16" s="49">
        <f>+F16/G16</f>
        <v>3913.2222377129588</v>
      </c>
      <c r="J16" s="49">
        <f>'ตารางที่ 6 ส่ง'!B9</f>
        <v>442692672.94342798</v>
      </c>
      <c r="K16" s="49">
        <f>'ตารางที่ 6 ส่ง'!C9</f>
        <v>914217.35363999999</v>
      </c>
      <c r="L16" s="49">
        <f>'ตารางที่ 6 ส่ง'!D9</f>
        <v>16917858.104454</v>
      </c>
      <c r="M16" s="49">
        <f>'ตารางที่ 6 ส่ง'!E9</f>
        <v>51614742.84108299</v>
      </c>
      <c r="N16" s="387">
        <f t="shared" ref="N16:N33" si="2">SUM(J16:M16)</f>
        <v>512139491.24260497</v>
      </c>
      <c r="O16" s="384">
        <v>117597</v>
      </c>
      <c r="P16" s="330" t="s">
        <v>100</v>
      </c>
      <c r="Q16" s="49">
        <f t="shared" si="0"/>
        <v>4355.0387445479473</v>
      </c>
      <c r="R16" s="386">
        <v>0</v>
      </c>
      <c r="S16" s="386">
        <v>0</v>
      </c>
      <c r="T16" s="386">
        <v>0</v>
      </c>
      <c r="V16" s="80"/>
    </row>
    <row r="17" spans="1:22" x14ac:dyDescent="0.4">
      <c r="A17" s="420" t="s">
        <v>131</v>
      </c>
      <c r="B17" s="387"/>
      <c r="C17" s="387"/>
      <c r="D17" s="387"/>
      <c r="E17" s="387"/>
      <c r="F17" s="388"/>
      <c r="G17" s="401"/>
      <c r="H17" s="390"/>
      <c r="I17" s="388"/>
      <c r="J17" s="387">
        <f>'ตารางที่ 6 ส่ง'!B10</f>
        <v>159032946.41145602</v>
      </c>
      <c r="K17" s="387">
        <f>'ตารางที่ 6 ส่ง'!C10</f>
        <v>328423.50527999998</v>
      </c>
      <c r="L17" s="387">
        <f>'ตารางที่ 6 ส่ง'!D10</f>
        <v>6077572.5142080011</v>
      </c>
      <c r="M17" s="387">
        <f>'ตารางที่ 6 ส่ง'!E10</f>
        <v>18542083.784015998</v>
      </c>
      <c r="N17" s="387">
        <f t="shared" si="2"/>
        <v>183981026.21495998</v>
      </c>
      <c r="O17" s="401">
        <v>10939</v>
      </c>
      <c r="P17" s="390" t="s">
        <v>100</v>
      </c>
      <c r="Q17" s="49">
        <f t="shared" si="0"/>
        <v>16818.815816341528</v>
      </c>
      <c r="R17" s="386">
        <v>0</v>
      </c>
      <c r="S17" s="386">
        <v>0</v>
      </c>
      <c r="T17" s="386">
        <v>0</v>
      </c>
      <c r="V17" s="80"/>
    </row>
    <row r="18" spans="1:22" ht="23.4" x14ac:dyDescent="0.45">
      <c r="A18" s="421" t="s">
        <v>132</v>
      </c>
      <c r="B18" s="49"/>
      <c r="C18" s="49"/>
      <c r="D18" s="49"/>
      <c r="E18" s="49"/>
      <c r="F18" s="383"/>
      <c r="G18" s="419"/>
      <c r="H18" s="330"/>
      <c r="I18" s="388"/>
      <c r="J18" s="49">
        <f>'ตารางที่ 6 ส่ง'!B11</f>
        <v>7136093.7492320007</v>
      </c>
      <c r="K18" s="49">
        <f>'ตารางที่ 6 ส่ง'!C11</f>
        <v>14736.952160000001</v>
      </c>
      <c r="L18" s="49">
        <f>'ตารางที่ 6 ส่ง'!D11</f>
        <v>272711.587176</v>
      </c>
      <c r="M18" s="49">
        <f>'ตารางที่ 6 ส่ง'!E11</f>
        <v>832016.58005199989</v>
      </c>
      <c r="N18" s="387">
        <f t="shared" si="2"/>
        <v>8255558.8686199998</v>
      </c>
      <c r="O18" s="384">
        <v>70</v>
      </c>
      <c r="P18" s="330" t="s">
        <v>342</v>
      </c>
      <c r="Q18" s="49">
        <f t="shared" si="0"/>
        <v>117936.555266</v>
      </c>
      <c r="R18" s="386">
        <v>0</v>
      </c>
      <c r="S18" s="386">
        <v>0</v>
      </c>
      <c r="T18" s="386">
        <v>0</v>
      </c>
      <c r="V18" s="80"/>
    </row>
    <row r="19" spans="1:22" x14ac:dyDescent="0.4">
      <c r="A19" s="422" t="s">
        <v>133</v>
      </c>
      <c r="B19" s="49">
        <v>74098541.030000001</v>
      </c>
      <c r="C19" s="49">
        <v>540537.68000000005</v>
      </c>
      <c r="D19" s="49">
        <v>4925643.2699999996</v>
      </c>
      <c r="E19" s="49">
        <v>10633635.640000001</v>
      </c>
      <c r="F19" s="383">
        <f>SUM(B19:E19)</f>
        <v>90198357.620000005</v>
      </c>
      <c r="G19" s="334">
        <v>13750</v>
      </c>
      <c r="H19" s="330" t="s">
        <v>99</v>
      </c>
      <c r="I19" s="383">
        <f>+F19/G19</f>
        <v>6559.8805541818183</v>
      </c>
      <c r="J19" s="49">
        <f>'ตารางที่ 6 ส่ง'!B12</f>
        <v>62695680.796824001</v>
      </c>
      <c r="K19" s="49">
        <f>'ตารางที่ 6 ส่ง'!C12</f>
        <v>129474.65111999999</v>
      </c>
      <c r="L19" s="49">
        <f>'ตารางที่ 6 ส่ง'!D12</f>
        <v>2395966.087332</v>
      </c>
      <c r="M19" s="49">
        <f>'ตารางที่ 6 ส่ง'!E12</f>
        <v>7309859.9533139989</v>
      </c>
      <c r="N19" s="387">
        <f t="shared" si="2"/>
        <v>72530981.488590002</v>
      </c>
      <c r="O19" s="334">
        <v>12479</v>
      </c>
      <c r="P19" s="330" t="s">
        <v>100</v>
      </c>
      <c r="Q19" s="49">
        <f t="shared" si="0"/>
        <v>5812.2430874741567</v>
      </c>
      <c r="R19" s="528">
        <f t="shared" si="1"/>
        <v>-19.587248146847134</v>
      </c>
      <c r="S19" s="528">
        <f t="shared" ref="S19:S30" si="3">SUM(O19-G19)*100/G19</f>
        <v>-9.2436363636363641</v>
      </c>
      <c r="T19" s="528">
        <f t="shared" ref="T19:T31" si="4">SUM(Q19-I19)*100/I19</f>
        <v>-11.397120123339056</v>
      </c>
      <c r="V19" s="80"/>
    </row>
    <row r="20" spans="1:22" x14ac:dyDescent="0.4">
      <c r="A20" s="422" t="s">
        <v>344</v>
      </c>
      <c r="B20" s="49">
        <v>102904111.97</v>
      </c>
      <c r="C20" s="49">
        <v>750669.98</v>
      </c>
      <c r="D20" s="49">
        <v>6840471.3499999996</v>
      </c>
      <c r="E20" s="49">
        <v>14767427.5</v>
      </c>
      <c r="F20" s="383">
        <f>SUM(B20:E20)</f>
        <v>125262680.8</v>
      </c>
      <c r="G20" s="334">
        <v>19559</v>
      </c>
      <c r="H20" s="330" t="s">
        <v>100</v>
      </c>
      <c r="I20" s="383">
        <f>+F20/G20</f>
        <v>6404.3499565417451</v>
      </c>
      <c r="J20" s="49">
        <f>'ตารางที่ 6 ส่ง'!B13</f>
        <v>46384609.370007999</v>
      </c>
      <c r="K20" s="49">
        <f>'ตารางที่ 6 ส่ง'!C13</f>
        <v>95790.189040000012</v>
      </c>
      <c r="L20" s="49">
        <f>'ตารางที่ 6 ส่ง'!D13</f>
        <v>1772625.3166440001</v>
      </c>
      <c r="M20" s="49">
        <f>'ตารางที่ 6 ส่ง'!E13</f>
        <v>5408107.7703379998</v>
      </c>
      <c r="N20" s="387">
        <f t="shared" si="2"/>
        <v>53661132.646029994</v>
      </c>
      <c r="O20" s="334">
        <v>11869</v>
      </c>
      <c r="P20" s="330" t="s">
        <v>100</v>
      </c>
      <c r="Q20" s="49">
        <f t="shared" si="0"/>
        <v>4521.1165764622119</v>
      </c>
      <c r="R20" s="528">
        <f t="shared" si="1"/>
        <v>-57.161117498588617</v>
      </c>
      <c r="S20" s="528">
        <f t="shared" si="3"/>
        <v>-39.31693849378803</v>
      </c>
      <c r="T20" s="528">
        <f t="shared" si="4"/>
        <v>-29.405535188718066</v>
      </c>
      <c r="V20" s="80"/>
    </row>
    <row r="21" spans="1:22" x14ac:dyDescent="0.4">
      <c r="A21" s="423" t="s">
        <v>379</v>
      </c>
      <c r="B21" s="49">
        <v>70118824</v>
      </c>
      <c r="C21" s="49">
        <v>511506.25</v>
      </c>
      <c r="D21" s="49">
        <v>4661094.66</v>
      </c>
      <c r="E21" s="49">
        <v>10062519.66</v>
      </c>
      <c r="F21" s="383">
        <f>SUM(B21:E21)</f>
        <v>85353944.569999993</v>
      </c>
      <c r="G21" s="334">
        <v>20958</v>
      </c>
      <c r="H21" s="330" t="s">
        <v>100</v>
      </c>
      <c r="I21" s="383">
        <f>+F21/G21</f>
        <v>4072.6187885294394</v>
      </c>
      <c r="J21" s="49"/>
      <c r="K21" s="49"/>
      <c r="L21" s="49"/>
      <c r="M21" s="49"/>
      <c r="N21" s="387"/>
      <c r="O21" s="334"/>
      <c r="P21" s="330"/>
      <c r="Q21" s="49"/>
      <c r="R21" s="386">
        <v>0</v>
      </c>
      <c r="S21" s="386">
        <v>0</v>
      </c>
      <c r="T21" s="386">
        <v>0</v>
      </c>
      <c r="V21" s="80"/>
    </row>
    <row r="22" spans="1:22" x14ac:dyDescent="0.4">
      <c r="A22" s="423" t="s">
        <v>380</v>
      </c>
      <c r="B22" s="49"/>
      <c r="C22" s="49"/>
      <c r="D22" s="49"/>
      <c r="E22" s="49"/>
      <c r="F22" s="383"/>
      <c r="G22" s="334"/>
      <c r="H22" s="330"/>
      <c r="I22" s="383"/>
      <c r="J22" s="49">
        <f>'ตารางที่ 6 ส่ง'!B14</f>
        <v>1274302.4552200001</v>
      </c>
      <c r="K22" s="49">
        <f>'ตารางที่ 6 ส่ง'!C14</f>
        <v>2631.5986000000003</v>
      </c>
      <c r="L22" s="49">
        <f>'ตารางที่ 6 ส่ง'!D14</f>
        <v>48698.497710000003</v>
      </c>
      <c r="M22" s="49">
        <f>'ตารางที่ 6 ส่ง'!E14</f>
        <v>148574.389295</v>
      </c>
      <c r="N22" s="387">
        <f>SUM(J22:M22)</f>
        <v>1474206.9408249999</v>
      </c>
      <c r="O22" s="334">
        <v>3</v>
      </c>
      <c r="P22" s="330" t="s">
        <v>104</v>
      </c>
      <c r="Q22" s="49">
        <f>+N22/O22</f>
        <v>491402.31360833329</v>
      </c>
      <c r="R22" s="386">
        <v>0</v>
      </c>
      <c r="S22" s="386">
        <v>0</v>
      </c>
      <c r="T22" s="386">
        <v>0</v>
      </c>
      <c r="V22" s="80"/>
    </row>
    <row r="23" spans="1:22" x14ac:dyDescent="0.4">
      <c r="A23" s="517" t="s">
        <v>381</v>
      </c>
      <c r="B23" s="49"/>
      <c r="C23" s="49"/>
      <c r="D23" s="49"/>
      <c r="E23" s="49"/>
      <c r="F23" s="383"/>
      <c r="G23" s="334"/>
      <c r="H23" s="330"/>
      <c r="I23" s="383"/>
      <c r="J23" s="49">
        <f>'ตารางที่ 6 ส่ง'!B15</f>
        <v>8920117.1865400001</v>
      </c>
      <c r="K23" s="49">
        <f>'ตารางที่ 6 ส่ง'!C15</f>
        <v>18421.190200000001</v>
      </c>
      <c r="L23" s="49">
        <f>'ตารางที่ 6 ส่ง'!D15</f>
        <v>340889.48397</v>
      </c>
      <c r="M23" s="49">
        <f>'ตารางที่ 6 ส่ง'!E15</f>
        <v>1040020.7250649999</v>
      </c>
      <c r="N23" s="387">
        <f t="shared" si="2"/>
        <v>10319448.585774999</v>
      </c>
      <c r="O23" s="334">
        <f>'ตารางที่ 6 ส่ง'!G15</f>
        <v>25924</v>
      </c>
      <c r="P23" s="330" t="s">
        <v>100</v>
      </c>
      <c r="Q23" s="49">
        <f>+N23/O23</f>
        <v>398.06544459863443</v>
      </c>
      <c r="R23" s="386">
        <v>0</v>
      </c>
      <c r="S23" s="386">
        <v>0</v>
      </c>
      <c r="T23" s="386">
        <v>0</v>
      </c>
      <c r="V23" s="80"/>
    </row>
    <row r="24" spans="1:22" x14ac:dyDescent="0.4">
      <c r="A24" s="424" t="s">
        <v>382</v>
      </c>
      <c r="B24" s="49">
        <v>0</v>
      </c>
      <c r="C24" s="49">
        <v>0</v>
      </c>
      <c r="D24" s="49">
        <v>0</v>
      </c>
      <c r="E24" s="49">
        <v>0</v>
      </c>
      <c r="F24" s="49"/>
      <c r="G24" s="49"/>
      <c r="H24" s="49"/>
      <c r="I24" s="49"/>
      <c r="J24" s="49">
        <f>'ตารางที่ 6 ส่ง'!B16</f>
        <v>13762466.516376002</v>
      </c>
      <c r="K24" s="49">
        <f>'ตารางที่ 6 ส่ง'!C16</f>
        <v>28421.264880000002</v>
      </c>
      <c r="L24" s="49">
        <f>'ตารางที่ 6 ส่ง'!D16</f>
        <v>525943.77526800008</v>
      </c>
      <c r="M24" s="49">
        <f>'ตารางที่ 6 ส่ง'!E16</f>
        <v>1604603.404386</v>
      </c>
      <c r="N24" s="387">
        <f t="shared" si="2"/>
        <v>15921434.960910002</v>
      </c>
      <c r="O24" s="334">
        <v>4063</v>
      </c>
      <c r="P24" s="330" t="s">
        <v>100</v>
      </c>
      <c r="Q24" s="49">
        <f>+N24/O24</f>
        <v>3918.6401577430474</v>
      </c>
      <c r="R24" s="386">
        <v>0</v>
      </c>
      <c r="S24" s="386">
        <v>0</v>
      </c>
      <c r="T24" s="386">
        <v>0</v>
      </c>
      <c r="V24" s="80"/>
    </row>
    <row r="25" spans="1:22" x14ac:dyDescent="0.4">
      <c r="A25" s="517" t="s">
        <v>383</v>
      </c>
      <c r="B25" s="49"/>
      <c r="C25" s="49"/>
      <c r="D25" s="49"/>
      <c r="E25" s="49"/>
      <c r="F25" s="49">
        <f>SUM(B25:E25)</f>
        <v>0</v>
      </c>
      <c r="G25" s="49"/>
      <c r="H25" s="49"/>
      <c r="I25" s="49"/>
      <c r="J25" s="49">
        <f>'ตารางที่ 6 ส่ง'!B17</f>
        <v>230393883.90377599</v>
      </c>
      <c r="K25" s="49">
        <f>'ตารางที่ 6 ส่ง'!C17</f>
        <v>475793.02688000002</v>
      </c>
      <c r="L25" s="49">
        <f>'ตารางที่ 6 ส่ง'!D17</f>
        <v>8804688.3859679997</v>
      </c>
      <c r="M25" s="49">
        <f>'ตารางที่ 6 ส่ง'!E17</f>
        <v>26862249.584535997</v>
      </c>
      <c r="N25" s="387">
        <f t="shared" si="2"/>
        <v>266536614.90115997</v>
      </c>
      <c r="O25" s="334">
        <v>42278</v>
      </c>
      <c r="P25" s="330" t="s">
        <v>100</v>
      </c>
      <c r="Q25" s="49">
        <f>+N25/O25</f>
        <v>6304.3808813368651</v>
      </c>
      <c r="R25" s="386">
        <v>0</v>
      </c>
      <c r="S25" s="386">
        <v>0</v>
      </c>
      <c r="T25" s="386">
        <v>0</v>
      </c>
      <c r="V25" s="80"/>
    </row>
    <row r="26" spans="1:22" ht="42" x14ac:dyDescent="0.4">
      <c r="A26" s="425" t="s">
        <v>384</v>
      </c>
      <c r="B26" s="410">
        <v>31648225.969999999</v>
      </c>
      <c r="C26" s="410">
        <v>230869.04</v>
      </c>
      <c r="D26" s="410">
        <v>2103791.37</v>
      </c>
      <c r="E26" s="410">
        <v>4541731.8499999996</v>
      </c>
      <c r="F26" s="349">
        <f>SUM(B26:E26)</f>
        <v>38524618.229999997</v>
      </c>
      <c r="G26" s="349">
        <v>2429</v>
      </c>
      <c r="H26" s="349" t="s">
        <v>100</v>
      </c>
      <c r="I26" s="349">
        <f>+F26/G26</f>
        <v>15860.279221902016</v>
      </c>
      <c r="J26" s="349">
        <f>'ตารางที่ 6 ส่ง'!B18</f>
        <v>27524933.032752004</v>
      </c>
      <c r="K26" s="349">
        <f>'ตารางที่ 6 ส่ง'!C18</f>
        <v>56842.529760000005</v>
      </c>
      <c r="L26" s="349">
        <f>'ตารางที่ 6 ส่ง'!D18</f>
        <v>1051887.5505360002</v>
      </c>
      <c r="M26" s="349">
        <f>'ตารางที่ 6 ส่ง'!E18</f>
        <v>3209206.808772</v>
      </c>
      <c r="N26" s="349">
        <f t="shared" si="2"/>
        <v>31842869.921820004</v>
      </c>
      <c r="O26" s="347">
        <v>2003</v>
      </c>
      <c r="P26" s="348" t="s">
        <v>100</v>
      </c>
      <c r="Q26" s="349">
        <f t="shared" ref="Q26:Q30" si="5">N26/O26</f>
        <v>15897.588578042938</v>
      </c>
      <c r="R26" s="529">
        <f t="shared" si="1"/>
        <v>-17.344099994161045</v>
      </c>
      <c r="S26" s="529">
        <f t="shared" si="3"/>
        <v>-17.538081515026761</v>
      </c>
      <c r="T26" s="529">
        <f>SUM(Q26-I26)*100/I26</f>
        <v>0.23523770054060913</v>
      </c>
      <c r="V26" s="80"/>
    </row>
    <row r="27" spans="1:22" hidden="1" x14ac:dyDescent="0.4">
      <c r="A27" s="426" t="s">
        <v>341</v>
      </c>
      <c r="B27" s="45"/>
      <c r="C27" s="45"/>
      <c r="D27" s="45"/>
      <c r="E27" s="45"/>
      <c r="F27" s="45"/>
      <c r="G27" s="45"/>
      <c r="H27" s="45"/>
      <c r="I27" s="45"/>
      <c r="J27" s="45">
        <f>'ตารางที่ 6 ส่ง'!B19</f>
        <v>0</v>
      </c>
      <c r="K27" s="45">
        <f>'ตารางที่ 6 ส่ง'!C19</f>
        <v>0</v>
      </c>
      <c r="L27" s="45">
        <f>'ตารางที่ 6 ส่ง'!D19</f>
        <v>0</v>
      </c>
      <c r="M27" s="45">
        <f>'ตารางที่ 6 ส่ง'!E19</f>
        <v>0</v>
      </c>
      <c r="N27" s="387">
        <f t="shared" si="2"/>
        <v>0</v>
      </c>
      <c r="O27" s="338"/>
      <c r="P27" s="339"/>
      <c r="Q27" s="49"/>
      <c r="R27" s="528">
        <v>0</v>
      </c>
      <c r="S27" s="528">
        <v>0</v>
      </c>
      <c r="T27" s="528">
        <v>0</v>
      </c>
      <c r="V27" s="80"/>
    </row>
    <row r="28" spans="1:22" x14ac:dyDescent="0.4">
      <c r="A28" s="427" t="s">
        <v>385</v>
      </c>
      <c r="B28" s="45">
        <v>932011828.13999999</v>
      </c>
      <c r="C28" s="45">
        <v>6798885.7199999997</v>
      </c>
      <c r="D28" s="45">
        <v>61954766.280000001</v>
      </c>
      <c r="E28" s="45">
        <v>133749923.48999999</v>
      </c>
      <c r="F28" s="45">
        <f>SUM(B28:E28)</f>
        <v>1134515403.6299999</v>
      </c>
      <c r="G28" s="45">
        <v>4002284</v>
      </c>
      <c r="H28" s="45" t="s">
        <v>100</v>
      </c>
      <c r="I28" s="45">
        <f>+F28/G28</f>
        <v>283.4669912554931</v>
      </c>
      <c r="J28" s="45">
        <f>'ตารางที่ 6 ส่ง'!B20</f>
        <v>547950055.74459994</v>
      </c>
      <c r="K28" s="45">
        <f>'ตารางที่ 6 ส่ง'!C20</f>
        <v>1131587.398</v>
      </c>
      <c r="L28" s="45">
        <f>'ตารางที่ 6 ส่ง'!D20</f>
        <v>20940354.015300002</v>
      </c>
      <c r="M28" s="45">
        <f>'ตารางที่ 6 ส่ง'!E20</f>
        <v>63886987.39684999</v>
      </c>
      <c r="N28" s="387">
        <f t="shared" si="2"/>
        <v>633908984.55474997</v>
      </c>
      <c r="O28" s="338">
        <v>4392076</v>
      </c>
      <c r="P28" s="339" t="s">
        <v>100</v>
      </c>
      <c r="Q28" s="49">
        <f t="shared" si="5"/>
        <v>144.33014924030229</v>
      </c>
      <c r="R28" s="528">
        <f t="shared" si="1"/>
        <v>-44.125131970311529</v>
      </c>
      <c r="S28" s="528">
        <f>+(O28-G28)*100/G28</f>
        <v>9.739238894591189</v>
      </c>
      <c r="T28" s="528">
        <f>+(Q28-I28)*100/I28</f>
        <v>-49.08396614326945</v>
      </c>
      <c r="V28" s="80"/>
    </row>
    <row r="29" spans="1:22" x14ac:dyDescent="0.4">
      <c r="A29" s="427" t="s">
        <v>386</v>
      </c>
      <c r="B29" s="45">
        <v>29374101.940000001</v>
      </c>
      <c r="C29" s="45">
        <v>214279.64</v>
      </c>
      <c r="D29" s="45">
        <v>1952620.73</v>
      </c>
      <c r="E29" s="45">
        <v>4215379.8600000003</v>
      </c>
      <c r="F29" s="45">
        <f>SUM(B29:E29)</f>
        <v>35756382.170000002</v>
      </c>
      <c r="G29" s="45">
        <v>14365</v>
      </c>
      <c r="H29" s="45" t="s">
        <v>100</v>
      </c>
      <c r="I29" s="45">
        <f>+F29/G29</f>
        <v>2489.1320689175081</v>
      </c>
      <c r="J29" s="45">
        <f>'ตารางที่ 6 ส่ง'!B21</f>
        <v>73909542.402759999</v>
      </c>
      <c r="K29" s="45">
        <f>'ตารางที่ 6 ส่ง'!C21</f>
        <v>152632.7188</v>
      </c>
      <c r="L29" s="45">
        <f>'ตารางที่ 6 ส่ง'!D21</f>
        <v>2824512.8671800001</v>
      </c>
      <c r="M29" s="45">
        <f>'ตารางที่ 6 ส่ง'!E21</f>
        <v>8617314.5791099984</v>
      </c>
      <c r="N29" s="387">
        <f t="shared" si="2"/>
        <v>85504002.567849994</v>
      </c>
      <c r="O29" s="338">
        <v>31569</v>
      </c>
      <c r="P29" s="339" t="s">
        <v>100</v>
      </c>
      <c r="Q29" s="49">
        <f t="shared" si="5"/>
        <v>2708.4799191564507</v>
      </c>
      <c r="R29" s="528">
        <f t="shared" si="1"/>
        <v>139.12934524899666</v>
      </c>
      <c r="S29" s="528">
        <f t="shared" si="3"/>
        <v>119.76331360946746</v>
      </c>
      <c r="T29" s="528">
        <f t="shared" si="4"/>
        <v>8.8122222592364956</v>
      </c>
      <c r="V29" s="80"/>
    </row>
    <row r="30" spans="1:22" x14ac:dyDescent="0.4">
      <c r="A30" s="426" t="s">
        <v>387</v>
      </c>
      <c r="B30" s="45">
        <v>28237039.93</v>
      </c>
      <c r="C30" s="45">
        <v>205984.95</v>
      </c>
      <c r="D30" s="45">
        <v>1877035.42</v>
      </c>
      <c r="E30" s="45">
        <v>4052203.86</v>
      </c>
      <c r="F30" s="45">
        <f>SUM(B30:E30)</f>
        <v>34372264.159999996</v>
      </c>
      <c r="G30" s="45">
        <v>7906</v>
      </c>
      <c r="H30" s="45" t="s">
        <v>100</v>
      </c>
      <c r="I30" s="45">
        <f>+F30/G30</f>
        <v>4347.6175259296733</v>
      </c>
      <c r="J30" s="45">
        <f>'ตารางที่ 6 ส่ง'!B22</f>
        <v>25740909.595444001</v>
      </c>
      <c r="K30" s="45">
        <f>'ตารางที่ 6 ส่ง'!C22</f>
        <v>53158.291720000001</v>
      </c>
      <c r="L30" s="45">
        <f>'ตารางที่ 6 ส่ง'!D22</f>
        <v>983709.65374199999</v>
      </c>
      <c r="M30" s="45">
        <f>'ตารางที่ 6 ส่ง'!E22</f>
        <v>3001202.6637589997</v>
      </c>
      <c r="N30" s="387">
        <f t="shared" si="2"/>
        <v>29778980.204665001</v>
      </c>
      <c r="O30" s="338">
        <v>8200</v>
      </c>
      <c r="P30" s="339" t="s">
        <v>100</v>
      </c>
      <c r="Q30" s="49">
        <f t="shared" si="5"/>
        <v>3631.5829517884149</v>
      </c>
      <c r="R30" s="528">
        <f t="shared" si="1"/>
        <v>-13.363344160145065</v>
      </c>
      <c r="S30" s="528">
        <f t="shared" si="3"/>
        <v>3.7186946622818113</v>
      </c>
      <c r="T30" s="528">
        <f>SUM(Q30-I30)*100/I30</f>
        <v>-16.46958523537889</v>
      </c>
      <c r="V30" s="80"/>
    </row>
    <row r="31" spans="1:22" ht="42" x14ac:dyDescent="0.4">
      <c r="A31" s="426" t="s">
        <v>388</v>
      </c>
      <c r="B31" s="410">
        <v>947551.68</v>
      </c>
      <c r="C31" s="410">
        <v>6912.25</v>
      </c>
      <c r="D31" s="410">
        <v>62987.77</v>
      </c>
      <c r="E31" s="410">
        <v>135980</v>
      </c>
      <c r="F31" s="410">
        <f>SUM(B31:E31)</f>
        <v>1153431.7000000002</v>
      </c>
      <c r="G31" s="410">
        <v>171</v>
      </c>
      <c r="H31" s="410" t="s">
        <v>100</v>
      </c>
      <c r="I31" s="410">
        <f>+F31/G31</f>
        <v>6745.2146198830424</v>
      </c>
      <c r="J31" s="410">
        <f>'ตารางที่ 6 ส่ง'!B23</f>
        <v>764581.47313199996</v>
      </c>
      <c r="K31" s="410">
        <f>'ตารางที่ 6 ส่ง'!C23</f>
        <v>1578.9591599999999</v>
      </c>
      <c r="L31" s="410">
        <f>'ตารางที่ 6 ส่ง'!D23</f>
        <v>29219.098626000003</v>
      </c>
      <c r="M31" s="410">
        <f>'ตารางที่ 6 ส่ง'!E23</f>
        <v>89144.633577000001</v>
      </c>
      <c r="N31" s="349">
        <f t="shared" si="2"/>
        <v>884524.16449499992</v>
      </c>
      <c r="O31" s="428">
        <f>'ตารางที่ 6 ส่ง'!G23</f>
        <v>170</v>
      </c>
      <c r="P31" s="429" t="s">
        <v>100</v>
      </c>
      <c r="Q31" s="349">
        <f>N31/O31</f>
        <v>5203.0833205588233</v>
      </c>
      <c r="R31" s="529">
        <f t="shared" si="1"/>
        <v>-23.31369386717915</v>
      </c>
      <c r="S31" s="529">
        <f>SUM(O31-G31)*100/G31</f>
        <v>-0.58479532163742687</v>
      </c>
      <c r="T31" s="529">
        <f t="shared" si="4"/>
        <v>-22.862597948750793</v>
      </c>
      <c r="V31" s="80"/>
    </row>
    <row r="32" spans="1:22" ht="42" x14ac:dyDescent="0.4">
      <c r="A32" s="426" t="s">
        <v>389</v>
      </c>
      <c r="B32" s="45"/>
      <c r="C32" s="45"/>
      <c r="D32" s="45"/>
      <c r="E32" s="45"/>
      <c r="F32" s="45"/>
      <c r="G32" s="45"/>
      <c r="H32" s="45"/>
      <c r="I32" s="45"/>
      <c r="J32" s="410">
        <f>'ตารางที่ 6 ส่ง'!B24</f>
        <v>94808102.668368012</v>
      </c>
      <c r="K32" s="410">
        <f>'ตารางที่ 6 ส่ง'!C24</f>
        <v>195790.93584000002</v>
      </c>
      <c r="L32" s="410">
        <f>'ตารางที่ 6 ส่ง'!D24</f>
        <v>3623168.2296240004</v>
      </c>
      <c r="M32" s="410">
        <f>'ตารางที่ 6 ส่ง'!E24</f>
        <v>11053934.563548001</v>
      </c>
      <c r="N32" s="349">
        <f t="shared" si="2"/>
        <v>109680996.39738001</v>
      </c>
      <c r="O32" s="428">
        <v>10939</v>
      </c>
      <c r="P32" s="429" t="s">
        <v>100</v>
      </c>
      <c r="Q32" s="349">
        <f>N32/O32</f>
        <v>10026.601736665143</v>
      </c>
      <c r="R32" s="393">
        <v>0</v>
      </c>
      <c r="S32" s="393">
        <v>0</v>
      </c>
      <c r="T32" s="393">
        <v>0</v>
      </c>
      <c r="V32" s="80"/>
    </row>
    <row r="33" spans="1:22" x14ac:dyDescent="0.4">
      <c r="A33" s="426" t="s">
        <v>390</v>
      </c>
      <c r="B33" s="45"/>
      <c r="C33" s="45"/>
      <c r="D33" s="45"/>
      <c r="E33" s="45"/>
      <c r="F33" s="45"/>
      <c r="G33" s="45"/>
      <c r="H33" s="45"/>
      <c r="I33" s="45"/>
      <c r="J33" s="45">
        <f>'ตารางที่ 6 ส่ง'!B25</f>
        <v>789048080.27222407</v>
      </c>
      <c r="K33" s="45">
        <f>'ตารางที่ 6 ส่ง'!C25</f>
        <v>1629485.8531200001</v>
      </c>
      <c r="L33" s="45">
        <f>'ตารางที่ 6 ส่ง'!D25</f>
        <v>30154109.782032002</v>
      </c>
      <c r="M33" s="45">
        <f>'ตารางที่ 6 ส่ง'!E25</f>
        <v>91997261.851464003</v>
      </c>
      <c r="N33" s="387">
        <f t="shared" si="2"/>
        <v>912828937.75884008</v>
      </c>
      <c r="O33" s="338">
        <f>'ตารางที่ 6 ส่ง'!G25</f>
        <v>281837</v>
      </c>
      <c r="P33" s="339" t="s">
        <v>100</v>
      </c>
      <c r="Q33" s="49">
        <f t="shared" ref="Q33" si="6">N33/O33</f>
        <v>3238.8541524315119</v>
      </c>
      <c r="R33" s="393">
        <v>0</v>
      </c>
      <c r="S33" s="393">
        <v>0</v>
      </c>
      <c r="T33" s="393">
        <v>0</v>
      </c>
      <c r="V33" s="80"/>
    </row>
    <row r="34" spans="1:22" x14ac:dyDescent="0.4">
      <c r="A34" s="430" t="s">
        <v>391</v>
      </c>
      <c r="B34" s="45">
        <v>36575494.68</v>
      </c>
      <c r="C34" s="45">
        <v>266812.71999999997</v>
      </c>
      <c r="D34" s="45">
        <v>2431327.75</v>
      </c>
      <c r="E34" s="45">
        <v>5248827.82</v>
      </c>
      <c r="F34" s="45">
        <f>SUM(B34:E34)</f>
        <v>44522462.969999999</v>
      </c>
      <c r="G34" s="45">
        <v>6319</v>
      </c>
      <c r="H34" s="45" t="s">
        <v>100</v>
      </c>
      <c r="I34" s="45">
        <f>+F34/G34</f>
        <v>7045.8083510049055</v>
      </c>
      <c r="J34" s="45"/>
      <c r="K34" s="45"/>
      <c r="L34" s="45"/>
      <c r="M34" s="45"/>
      <c r="N34" s="45"/>
      <c r="O34" s="338"/>
      <c r="P34" s="339"/>
      <c r="Q34" s="45"/>
      <c r="R34" s="385"/>
      <c r="S34" s="385"/>
      <c r="T34" s="386"/>
      <c r="V34" s="80"/>
    </row>
    <row r="35" spans="1:22" ht="21.6" thickBot="1" x14ac:dyDescent="0.45">
      <c r="A35" s="300" t="s">
        <v>17</v>
      </c>
      <c r="B35" s="301">
        <f>SUM(B15:B34)+0.01</f>
        <v>1895103351.2500002</v>
      </c>
      <c r="C35" s="301">
        <f>SUM(C15:C34)</f>
        <v>13824493.140000001</v>
      </c>
      <c r="D35" s="301">
        <f>SUM(D15:D34)+0.01</f>
        <v>125975531.28</v>
      </c>
      <c r="E35" s="301">
        <f>SUM(E15:E34)</f>
        <v>271959990.82999998</v>
      </c>
      <c r="F35" s="301">
        <f>+B35+C35+D35+E35-0.01</f>
        <v>2306863366.4900002</v>
      </c>
      <c r="G35" s="520">
        <f>SUM(G15:G34)</f>
        <v>4265990</v>
      </c>
      <c r="H35" s="431"/>
      <c r="I35" s="432">
        <f>+F35/G35</f>
        <v>540.75686217970508</v>
      </c>
      <c r="J35" s="433">
        <f>SUM(J15:J34)</f>
        <v>2548604910.4400001</v>
      </c>
      <c r="K35" s="433">
        <f>SUM(K15:K34)</f>
        <v>5263197.2</v>
      </c>
      <c r="L35" s="433">
        <f>SUM(L15:L34)</f>
        <v>97396995.419999987</v>
      </c>
      <c r="M35" s="433">
        <f>SUM(M15:M34)</f>
        <v>297148778.58999991</v>
      </c>
      <c r="N35" s="433">
        <f>SUM(J35:M35)</f>
        <v>2948413881.6499996</v>
      </c>
      <c r="O35" s="518">
        <f>SUM(O15:O34)</f>
        <v>4952816</v>
      </c>
      <c r="P35" s="431"/>
      <c r="Q35" s="434">
        <f>N35/O35</f>
        <v>595.30050816545565</v>
      </c>
      <c r="R35" s="435">
        <f>+(N35-F35)*100/F35</f>
        <v>27.81051207797141</v>
      </c>
      <c r="S35" s="434">
        <f>+(O35-G35)*100/G35-0.04</f>
        <v>16.060037740360386</v>
      </c>
      <c r="T35" s="434">
        <f>+(Q35-I35)*100/I35+0.03</f>
        <v>10.116537924991611</v>
      </c>
      <c r="V35" s="80"/>
    </row>
    <row r="36" spans="1:22" ht="21.6" thickTop="1" x14ac:dyDescent="0.4">
      <c r="V36" s="80"/>
    </row>
    <row r="37" spans="1:22" ht="23.4" x14ac:dyDescent="0.45">
      <c r="A37" s="58" t="s">
        <v>213</v>
      </c>
    </row>
    <row r="38" spans="1:22" ht="23.4" x14ac:dyDescent="0.45">
      <c r="A38" s="56" t="s">
        <v>214</v>
      </c>
    </row>
    <row r="39" spans="1:22" x14ac:dyDescent="0.4">
      <c r="A39" s="437" t="s">
        <v>340</v>
      </c>
    </row>
    <row r="40" spans="1:22" x14ac:dyDescent="0.4">
      <c r="A40" s="438"/>
    </row>
    <row r="41" spans="1:22" x14ac:dyDescent="0.4">
      <c r="A41" s="439"/>
    </row>
    <row r="42" spans="1:22" x14ac:dyDescent="0.4">
      <c r="A42" s="440"/>
    </row>
    <row r="43" spans="1:22" x14ac:dyDescent="0.4">
      <c r="A43" s="440"/>
    </row>
    <row r="44" spans="1:22" x14ac:dyDescent="0.4">
      <c r="A44" s="340"/>
    </row>
  </sheetData>
  <mergeCells count="7">
    <mergeCell ref="A1:T1"/>
    <mergeCell ref="A2:T2"/>
    <mergeCell ref="A3:T3"/>
    <mergeCell ref="A4:T4"/>
    <mergeCell ref="A8:I8"/>
    <mergeCell ref="J8:Q8"/>
    <mergeCell ref="R8:T8"/>
  </mergeCells>
  <pageMargins left="0.19685039370078741" right="0.11811023622047245" top="0.39370078740157483" bottom="0.15748031496062992" header="0.31496062992125984" footer="0.31496062992125984"/>
  <pageSetup paperSize="5" scale="50" orientation="landscape" r:id="rId1"/>
  <headerFooter>
    <oddHeader>&amp;R13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A72"/>
  <sheetViews>
    <sheetView topLeftCell="R21" workbookViewId="0">
      <selection activeCell="W33" sqref="W33"/>
    </sheetView>
  </sheetViews>
  <sheetFormatPr defaultColWidth="8.19921875" defaultRowHeight="21" x14ac:dyDescent="0.4"/>
  <cols>
    <col min="1" max="1" width="41.5" style="52" customWidth="1"/>
    <col min="2" max="2" width="17.8984375" style="13" customWidth="1"/>
    <col min="3" max="3" width="15.69921875" style="13" customWidth="1"/>
    <col min="4" max="4" width="17" style="13" customWidth="1"/>
    <col min="5" max="5" width="15.8984375" style="13" customWidth="1"/>
    <col min="6" max="6" width="17.8984375" style="25" customWidth="1"/>
    <col min="7" max="7" width="16.796875" style="13" customWidth="1"/>
    <col min="8" max="8" width="15.796875" style="13" customWidth="1"/>
    <col min="9" max="9" width="18.09765625" style="13" customWidth="1"/>
    <col min="10" max="10" width="14.5" style="13" customWidth="1"/>
    <col min="11" max="11" width="16.8984375" style="25" customWidth="1"/>
    <col min="12" max="12" width="17.796875" style="38" customWidth="1"/>
    <col min="13" max="13" width="34.59765625" style="13" customWidth="1"/>
    <col min="14" max="14" width="16.296875" style="13" customWidth="1"/>
    <col min="15" max="15" width="14.8984375" style="13" customWidth="1"/>
    <col min="16" max="16" width="15" style="13" customWidth="1"/>
    <col min="17" max="17" width="15.09765625" style="209" customWidth="1"/>
    <col min="18" max="18" width="17.59765625" style="13" customWidth="1"/>
    <col min="19" max="19" width="16.8984375" style="27" customWidth="1"/>
    <col min="20" max="20" width="15.09765625" style="27" customWidth="1"/>
    <col min="21" max="21" width="14.8984375" style="27" customWidth="1"/>
    <col min="22" max="22" width="14.796875" style="27" customWidth="1"/>
    <col min="23" max="23" width="18.19921875" style="27" customWidth="1"/>
    <col min="24" max="24" width="17" style="27" customWidth="1"/>
    <col min="25" max="25" width="11.3984375" style="27" customWidth="1"/>
    <col min="26" max="26" width="12.19921875" style="27" customWidth="1"/>
    <col min="27" max="27" width="12.09765625" style="27" customWidth="1"/>
    <col min="28" max="28" width="16.296875" style="27" bestFit="1" customWidth="1"/>
    <col min="29" max="29" width="13.796875" style="27" bestFit="1" customWidth="1"/>
    <col min="30" max="256" width="8.19921875" style="27"/>
    <col min="257" max="257" width="41.69921875" style="27" customWidth="1"/>
    <col min="258" max="258" width="24.59765625" style="27" customWidth="1"/>
    <col min="259" max="259" width="22.8984375" style="27" customWidth="1"/>
    <col min="260" max="260" width="23.3984375" style="27" customWidth="1"/>
    <col min="261" max="261" width="17.09765625" style="27" customWidth="1"/>
    <col min="262" max="262" width="20.59765625" style="27" customWidth="1"/>
    <col min="263" max="263" width="17.3984375" style="27" customWidth="1"/>
    <col min="264" max="264" width="17.59765625" style="27" customWidth="1"/>
    <col min="265" max="265" width="18.09765625" style="27" customWidth="1"/>
    <col min="266" max="266" width="17.09765625" style="27" customWidth="1"/>
    <col min="267" max="267" width="20.296875" style="27" customWidth="1"/>
    <col min="268" max="268" width="22.3984375" style="27" customWidth="1"/>
    <col min="269" max="269" width="35.5" style="27" customWidth="1"/>
    <col min="270" max="270" width="17.5" style="27" customWidth="1"/>
    <col min="271" max="271" width="15.796875" style="27" customWidth="1"/>
    <col min="272" max="272" width="15" style="27" customWidth="1"/>
    <col min="273" max="273" width="15.796875" style="27" customWidth="1"/>
    <col min="274" max="274" width="20.19921875" style="27" customWidth="1"/>
    <col min="275" max="275" width="18.796875" style="27" customWidth="1"/>
    <col min="276" max="276" width="17.69921875" style="27" customWidth="1"/>
    <col min="277" max="277" width="17.19921875" style="27" customWidth="1"/>
    <col min="278" max="278" width="17.09765625" style="27" customWidth="1"/>
    <col min="279" max="279" width="18.3984375" style="27" customWidth="1"/>
    <col min="280" max="280" width="17" style="27" bestFit="1" customWidth="1"/>
    <col min="281" max="281" width="11.796875" style="27" bestFit="1" customWidth="1"/>
    <col min="282" max="283" width="12.69921875" style="27" bestFit="1" customWidth="1"/>
    <col min="284" max="284" width="16.296875" style="27" bestFit="1" customWidth="1"/>
    <col min="285" max="285" width="13.796875" style="27" bestFit="1" customWidth="1"/>
    <col min="286" max="512" width="8.19921875" style="27"/>
    <col min="513" max="513" width="41.69921875" style="27" customWidth="1"/>
    <col min="514" max="514" width="24.59765625" style="27" customWidth="1"/>
    <col min="515" max="515" width="22.8984375" style="27" customWidth="1"/>
    <col min="516" max="516" width="23.3984375" style="27" customWidth="1"/>
    <col min="517" max="517" width="17.09765625" style="27" customWidth="1"/>
    <col min="518" max="518" width="20.59765625" style="27" customWidth="1"/>
    <col min="519" max="519" width="17.3984375" style="27" customWidth="1"/>
    <col min="520" max="520" width="17.59765625" style="27" customWidth="1"/>
    <col min="521" max="521" width="18.09765625" style="27" customWidth="1"/>
    <col min="522" max="522" width="17.09765625" style="27" customWidth="1"/>
    <col min="523" max="523" width="20.296875" style="27" customWidth="1"/>
    <col min="524" max="524" width="22.3984375" style="27" customWidth="1"/>
    <col min="525" max="525" width="35.5" style="27" customWidth="1"/>
    <col min="526" max="526" width="17.5" style="27" customWidth="1"/>
    <col min="527" max="527" width="15.796875" style="27" customWidth="1"/>
    <col min="528" max="528" width="15" style="27" customWidth="1"/>
    <col min="529" max="529" width="15.796875" style="27" customWidth="1"/>
    <col min="530" max="530" width="20.19921875" style="27" customWidth="1"/>
    <col min="531" max="531" width="18.796875" style="27" customWidth="1"/>
    <col min="532" max="532" width="17.69921875" style="27" customWidth="1"/>
    <col min="533" max="533" width="17.19921875" style="27" customWidth="1"/>
    <col min="534" max="534" width="17.09765625" style="27" customWidth="1"/>
    <col min="535" max="535" width="18.3984375" style="27" customWidth="1"/>
    <col min="536" max="536" width="17" style="27" bestFit="1" customWidth="1"/>
    <col min="537" max="537" width="11.796875" style="27" bestFit="1" customWidth="1"/>
    <col min="538" max="539" width="12.69921875" style="27" bestFit="1" customWidth="1"/>
    <col min="540" max="540" width="16.296875" style="27" bestFit="1" customWidth="1"/>
    <col min="541" max="541" width="13.796875" style="27" bestFit="1" customWidth="1"/>
    <col min="542" max="768" width="8.19921875" style="27"/>
    <col min="769" max="769" width="41.69921875" style="27" customWidth="1"/>
    <col min="770" max="770" width="24.59765625" style="27" customWidth="1"/>
    <col min="771" max="771" width="22.8984375" style="27" customWidth="1"/>
    <col min="772" max="772" width="23.3984375" style="27" customWidth="1"/>
    <col min="773" max="773" width="17.09765625" style="27" customWidth="1"/>
    <col min="774" max="774" width="20.59765625" style="27" customWidth="1"/>
    <col min="775" max="775" width="17.3984375" style="27" customWidth="1"/>
    <col min="776" max="776" width="17.59765625" style="27" customWidth="1"/>
    <col min="777" max="777" width="18.09765625" style="27" customWidth="1"/>
    <col min="778" max="778" width="17.09765625" style="27" customWidth="1"/>
    <col min="779" max="779" width="20.296875" style="27" customWidth="1"/>
    <col min="780" max="780" width="22.3984375" style="27" customWidth="1"/>
    <col min="781" max="781" width="35.5" style="27" customWidth="1"/>
    <col min="782" max="782" width="17.5" style="27" customWidth="1"/>
    <col min="783" max="783" width="15.796875" style="27" customWidth="1"/>
    <col min="784" max="784" width="15" style="27" customWidth="1"/>
    <col min="785" max="785" width="15.796875" style="27" customWidth="1"/>
    <col min="786" max="786" width="20.19921875" style="27" customWidth="1"/>
    <col min="787" max="787" width="18.796875" style="27" customWidth="1"/>
    <col min="788" max="788" width="17.69921875" style="27" customWidth="1"/>
    <col min="789" max="789" width="17.19921875" style="27" customWidth="1"/>
    <col min="790" max="790" width="17.09765625" style="27" customWidth="1"/>
    <col min="791" max="791" width="18.3984375" style="27" customWidth="1"/>
    <col min="792" max="792" width="17" style="27" bestFit="1" customWidth="1"/>
    <col min="793" max="793" width="11.796875" style="27" bestFit="1" customWidth="1"/>
    <col min="794" max="795" width="12.69921875" style="27" bestFit="1" customWidth="1"/>
    <col min="796" max="796" width="16.296875" style="27" bestFit="1" customWidth="1"/>
    <col min="797" max="797" width="13.796875" style="27" bestFit="1" customWidth="1"/>
    <col min="798" max="1024" width="8.19921875" style="27"/>
    <col min="1025" max="1025" width="41.69921875" style="27" customWidth="1"/>
    <col min="1026" max="1026" width="24.59765625" style="27" customWidth="1"/>
    <col min="1027" max="1027" width="22.8984375" style="27" customWidth="1"/>
    <col min="1028" max="1028" width="23.3984375" style="27" customWidth="1"/>
    <col min="1029" max="1029" width="17.09765625" style="27" customWidth="1"/>
    <col min="1030" max="1030" width="20.59765625" style="27" customWidth="1"/>
    <col min="1031" max="1031" width="17.3984375" style="27" customWidth="1"/>
    <col min="1032" max="1032" width="17.59765625" style="27" customWidth="1"/>
    <col min="1033" max="1033" width="18.09765625" style="27" customWidth="1"/>
    <col min="1034" max="1034" width="17.09765625" style="27" customWidth="1"/>
    <col min="1035" max="1035" width="20.296875" style="27" customWidth="1"/>
    <col min="1036" max="1036" width="22.3984375" style="27" customWidth="1"/>
    <col min="1037" max="1037" width="35.5" style="27" customWidth="1"/>
    <col min="1038" max="1038" width="17.5" style="27" customWidth="1"/>
    <col min="1039" max="1039" width="15.796875" style="27" customWidth="1"/>
    <col min="1040" max="1040" width="15" style="27" customWidth="1"/>
    <col min="1041" max="1041" width="15.796875" style="27" customWidth="1"/>
    <col min="1042" max="1042" width="20.19921875" style="27" customWidth="1"/>
    <col min="1043" max="1043" width="18.796875" style="27" customWidth="1"/>
    <col min="1044" max="1044" width="17.69921875" style="27" customWidth="1"/>
    <col min="1045" max="1045" width="17.19921875" style="27" customWidth="1"/>
    <col min="1046" max="1046" width="17.09765625" style="27" customWidth="1"/>
    <col min="1047" max="1047" width="18.3984375" style="27" customWidth="1"/>
    <col min="1048" max="1048" width="17" style="27" bestFit="1" customWidth="1"/>
    <col min="1049" max="1049" width="11.796875" style="27" bestFit="1" customWidth="1"/>
    <col min="1050" max="1051" width="12.69921875" style="27" bestFit="1" customWidth="1"/>
    <col min="1052" max="1052" width="16.296875" style="27" bestFit="1" customWidth="1"/>
    <col min="1053" max="1053" width="13.796875" style="27" bestFit="1" customWidth="1"/>
    <col min="1054" max="1280" width="8.19921875" style="27"/>
    <col min="1281" max="1281" width="41.69921875" style="27" customWidth="1"/>
    <col min="1282" max="1282" width="24.59765625" style="27" customWidth="1"/>
    <col min="1283" max="1283" width="22.8984375" style="27" customWidth="1"/>
    <col min="1284" max="1284" width="23.3984375" style="27" customWidth="1"/>
    <col min="1285" max="1285" width="17.09765625" style="27" customWidth="1"/>
    <col min="1286" max="1286" width="20.59765625" style="27" customWidth="1"/>
    <col min="1287" max="1287" width="17.3984375" style="27" customWidth="1"/>
    <col min="1288" max="1288" width="17.59765625" style="27" customWidth="1"/>
    <col min="1289" max="1289" width="18.09765625" style="27" customWidth="1"/>
    <col min="1290" max="1290" width="17.09765625" style="27" customWidth="1"/>
    <col min="1291" max="1291" width="20.296875" style="27" customWidth="1"/>
    <col min="1292" max="1292" width="22.3984375" style="27" customWidth="1"/>
    <col min="1293" max="1293" width="35.5" style="27" customWidth="1"/>
    <col min="1294" max="1294" width="17.5" style="27" customWidth="1"/>
    <col min="1295" max="1295" width="15.796875" style="27" customWidth="1"/>
    <col min="1296" max="1296" width="15" style="27" customWidth="1"/>
    <col min="1297" max="1297" width="15.796875" style="27" customWidth="1"/>
    <col min="1298" max="1298" width="20.19921875" style="27" customWidth="1"/>
    <col min="1299" max="1299" width="18.796875" style="27" customWidth="1"/>
    <col min="1300" max="1300" width="17.69921875" style="27" customWidth="1"/>
    <col min="1301" max="1301" width="17.19921875" style="27" customWidth="1"/>
    <col min="1302" max="1302" width="17.09765625" style="27" customWidth="1"/>
    <col min="1303" max="1303" width="18.3984375" style="27" customWidth="1"/>
    <col min="1304" max="1304" width="17" style="27" bestFit="1" customWidth="1"/>
    <col min="1305" max="1305" width="11.796875" style="27" bestFit="1" customWidth="1"/>
    <col min="1306" max="1307" width="12.69921875" style="27" bestFit="1" customWidth="1"/>
    <col min="1308" max="1308" width="16.296875" style="27" bestFit="1" customWidth="1"/>
    <col min="1309" max="1309" width="13.796875" style="27" bestFit="1" customWidth="1"/>
    <col min="1310" max="1536" width="8.19921875" style="27"/>
    <col min="1537" max="1537" width="41.69921875" style="27" customWidth="1"/>
    <col min="1538" max="1538" width="24.59765625" style="27" customWidth="1"/>
    <col min="1539" max="1539" width="22.8984375" style="27" customWidth="1"/>
    <col min="1540" max="1540" width="23.3984375" style="27" customWidth="1"/>
    <col min="1541" max="1541" width="17.09765625" style="27" customWidth="1"/>
    <col min="1542" max="1542" width="20.59765625" style="27" customWidth="1"/>
    <col min="1543" max="1543" width="17.3984375" style="27" customWidth="1"/>
    <col min="1544" max="1544" width="17.59765625" style="27" customWidth="1"/>
    <col min="1545" max="1545" width="18.09765625" style="27" customWidth="1"/>
    <col min="1546" max="1546" width="17.09765625" style="27" customWidth="1"/>
    <col min="1547" max="1547" width="20.296875" style="27" customWidth="1"/>
    <col min="1548" max="1548" width="22.3984375" style="27" customWidth="1"/>
    <col min="1549" max="1549" width="35.5" style="27" customWidth="1"/>
    <col min="1550" max="1550" width="17.5" style="27" customWidth="1"/>
    <col min="1551" max="1551" width="15.796875" style="27" customWidth="1"/>
    <col min="1552" max="1552" width="15" style="27" customWidth="1"/>
    <col min="1553" max="1553" width="15.796875" style="27" customWidth="1"/>
    <col min="1554" max="1554" width="20.19921875" style="27" customWidth="1"/>
    <col min="1555" max="1555" width="18.796875" style="27" customWidth="1"/>
    <col min="1556" max="1556" width="17.69921875" style="27" customWidth="1"/>
    <col min="1557" max="1557" width="17.19921875" style="27" customWidth="1"/>
    <col min="1558" max="1558" width="17.09765625" style="27" customWidth="1"/>
    <col min="1559" max="1559" width="18.3984375" style="27" customWidth="1"/>
    <col min="1560" max="1560" width="17" style="27" bestFit="1" customWidth="1"/>
    <col min="1561" max="1561" width="11.796875" style="27" bestFit="1" customWidth="1"/>
    <col min="1562" max="1563" width="12.69921875" style="27" bestFit="1" customWidth="1"/>
    <col min="1564" max="1564" width="16.296875" style="27" bestFit="1" customWidth="1"/>
    <col min="1565" max="1565" width="13.796875" style="27" bestFit="1" customWidth="1"/>
    <col min="1566" max="1792" width="8.19921875" style="27"/>
    <col min="1793" max="1793" width="41.69921875" style="27" customWidth="1"/>
    <col min="1794" max="1794" width="24.59765625" style="27" customWidth="1"/>
    <col min="1795" max="1795" width="22.8984375" style="27" customWidth="1"/>
    <col min="1796" max="1796" width="23.3984375" style="27" customWidth="1"/>
    <col min="1797" max="1797" width="17.09765625" style="27" customWidth="1"/>
    <col min="1798" max="1798" width="20.59765625" style="27" customWidth="1"/>
    <col min="1799" max="1799" width="17.3984375" style="27" customWidth="1"/>
    <col min="1800" max="1800" width="17.59765625" style="27" customWidth="1"/>
    <col min="1801" max="1801" width="18.09765625" style="27" customWidth="1"/>
    <col min="1802" max="1802" width="17.09765625" style="27" customWidth="1"/>
    <col min="1803" max="1803" width="20.296875" style="27" customWidth="1"/>
    <col min="1804" max="1804" width="22.3984375" style="27" customWidth="1"/>
    <col min="1805" max="1805" width="35.5" style="27" customWidth="1"/>
    <col min="1806" max="1806" width="17.5" style="27" customWidth="1"/>
    <col min="1807" max="1807" width="15.796875" style="27" customWidth="1"/>
    <col min="1808" max="1808" width="15" style="27" customWidth="1"/>
    <col min="1809" max="1809" width="15.796875" style="27" customWidth="1"/>
    <col min="1810" max="1810" width="20.19921875" style="27" customWidth="1"/>
    <col min="1811" max="1811" width="18.796875" style="27" customWidth="1"/>
    <col min="1812" max="1812" width="17.69921875" style="27" customWidth="1"/>
    <col min="1813" max="1813" width="17.19921875" style="27" customWidth="1"/>
    <col min="1814" max="1814" width="17.09765625" style="27" customWidth="1"/>
    <col min="1815" max="1815" width="18.3984375" style="27" customWidth="1"/>
    <col min="1816" max="1816" width="17" style="27" bestFit="1" customWidth="1"/>
    <col min="1817" max="1817" width="11.796875" style="27" bestFit="1" customWidth="1"/>
    <col min="1818" max="1819" width="12.69921875" style="27" bestFit="1" customWidth="1"/>
    <col min="1820" max="1820" width="16.296875" style="27" bestFit="1" customWidth="1"/>
    <col min="1821" max="1821" width="13.796875" style="27" bestFit="1" customWidth="1"/>
    <col min="1822" max="2048" width="8.19921875" style="27"/>
    <col min="2049" max="2049" width="41.69921875" style="27" customWidth="1"/>
    <col min="2050" max="2050" width="24.59765625" style="27" customWidth="1"/>
    <col min="2051" max="2051" width="22.8984375" style="27" customWidth="1"/>
    <col min="2052" max="2052" width="23.3984375" style="27" customWidth="1"/>
    <col min="2053" max="2053" width="17.09765625" style="27" customWidth="1"/>
    <col min="2054" max="2054" width="20.59765625" style="27" customWidth="1"/>
    <col min="2055" max="2055" width="17.3984375" style="27" customWidth="1"/>
    <col min="2056" max="2056" width="17.59765625" style="27" customWidth="1"/>
    <col min="2057" max="2057" width="18.09765625" style="27" customWidth="1"/>
    <col min="2058" max="2058" width="17.09765625" style="27" customWidth="1"/>
    <col min="2059" max="2059" width="20.296875" style="27" customWidth="1"/>
    <col min="2060" max="2060" width="22.3984375" style="27" customWidth="1"/>
    <col min="2061" max="2061" width="35.5" style="27" customWidth="1"/>
    <col min="2062" max="2062" width="17.5" style="27" customWidth="1"/>
    <col min="2063" max="2063" width="15.796875" style="27" customWidth="1"/>
    <col min="2064" max="2064" width="15" style="27" customWidth="1"/>
    <col min="2065" max="2065" width="15.796875" style="27" customWidth="1"/>
    <col min="2066" max="2066" width="20.19921875" style="27" customWidth="1"/>
    <col min="2067" max="2067" width="18.796875" style="27" customWidth="1"/>
    <col min="2068" max="2068" width="17.69921875" style="27" customWidth="1"/>
    <col min="2069" max="2069" width="17.19921875" style="27" customWidth="1"/>
    <col min="2070" max="2070" width="17.09765625" style="27" customWidth="1"/>
    <col min="2071" max="2071" width="18.3984375" style="27" customWidth="1"/>
    <col min="2072" max="2072" width="17" style="27" bestFit="1" customWidth="1"/>
    <col min="2073" max="2073" width="11.796875" style="27" bestFit="1" customWidth="1"/>
    <col min="2074" max="2075" width="12.69921875" style="27" bestFit="1" customWidth="1"/>
    <col min="2076" max="2076" width="16.296875" style="27" bestFit="1" customWidth="1"/>
    <col min="2077" max="2077" width="13.796875" style="27" bestFit="1" customWidth="1"/>
    <col min="2078" max="2304" width="8.19921875" style="27"/>
    <col min="2305" max="2305" width="41.69921875" style="27" customWidth="1"/>
    <col min="2306" max="2306" width="24.59765625" style="27" customWidth="1"/>
    <col min="2307" max="2307" width="22.8984375" style="27" customWidth="1"/>
    <col min="2308" max="2308" width="23.3984375" style="27" customWidth="1"/>
    <col min="2309" max="2309" width="17.09765625" style="27" customWidth="1"/>
    <col min="2310" max="2310" width="20.59765625" style="27" customWidth="1"/>
    <col min="2311" max="2311" width="17.3984375" style="27" customWidth="1"/>
    <col min="2312" max="2312" width="17.59765625" style="27" customWidth="1"/>
    <col min="2313" max="2313" width="18.09765625" style="27" customWidth="1"/>
    <col min="2314" max="2314" width="17.09765625" style="27" customWidth="1"/>
    <col min="2315" max="2315" width="20.296875" style="27" customWidth="1"/>
    <col min="2316" max="2316" width="22.3984375" style="27" customWidth="1"/>
    <col min="2317" max="2317" width="35.5" style="27" customWidth="1"/>
    <col min="2318" max="2318" width="17.5" style="27" customWidth="1"/>
    <col min="2319" max="2319" width="15.796875" style="27" customWidth="1"/>
    <col min="2320" max="2320" width="15" style="27" customWidth="1"/>
    <col min="2321" max="2321" width="15.796875" style="27" customWidth="1"/>
    <col min="2322" max="2322" width="20.19921875" style="27" customWidth="1"/>
    <col min="2323" max="2323" width="18.796875" style="27" customWidth="1"/>
    <col min="2324" max="2324" width="17.69921875" style="27" customWidth="1"/>
    <col min="2325" max="2325" width="17.19921875" style="27" customWidth="1"/>
    <col min="2326" max="2326" width="17.09765625" style="27" customWidth="1"/>
    <col min="2327" max="2327" width="18.3984375" style="27" customWidth="1"/>
    <col min="2328" max="2328" width="17" style="27" bestFit="1" customWidth="1"/>
    <col min="2329" max="2329" width="11.796875" style="27" bestFit="1" customWidth="1"/>
    <col min="2330" max="2331" width="12.69921875" style="27" bestFit="1" customWidth="1"/>
    <col min="2332" max="2332" width="16.296875" style="27" bestFit="1" customWidth="1"/>
    <col min="2333" max="2333" width="13.796875" style="27" bestFit="1" customWidth="1"/>
    <col min="2334" max="2560" width="8.19921875" style="27"/>
    <col min="2561" max="2561" width="41.69921875" style="27" customWidth="1"/>
    <col min="2562" max="2562" width="24.59765625" style="27" customWidth="1"/>
    <col min="2563" max="2563" width="22.8984375" style="27" customWidth="1"/>
    <col min="2564" max="2564" width="23.3984375" style="27" customWidth="1"/>
    <col min="2565" max="2565" width="17.09765625" style="27" customWidth="1"/>
    <col min="2566" max="2566" width="20.59765625" style="27" customWidth="1"/>
    <col min="2567" max="2567" width="17.3984375" style="27" customWidth="1"/>
    <col min="2568" max="2568" width="17.59765625" style="27" customWidth="1"/>
    <col min="2569" max="2569" width="18.09765625" style="27" customWidth="1"/>
    <col min="2570" max="2570" width="17.09765625" style="27" customWidth="1"/>
    <col min="2571" max="2571" width="20.296875" style="27" customWidth="1"/>
    <col min="2572" max="2572" width="22.3984375" style="27" customWidth="1"/>
    <col min="2573" max="2573" width="35.5" style="27" customWidth="1"/>
    <col min="2574" max="2574" width="17.5" style="27" customWidth="1"/>
    <col min="2575" max="2575" width="15.796875" style="27" customWidth="1"/>
    <col min="2576" max="2576" width="15" style="27" customWidth="1"/>
    <col min="2577" max="2577" width="15.796875" style="27" customWidth="1"/>
    <col min="2578" max="2578" width="20.19921875" style="27" customWidth="1"/>
    <col min="2579" max="2579" width="18.796875" style="27" customWidth="1"/>
    <col min="2580" max="2580" width="17.69921875" style="27" customWidth="1"/>
    <col min="2581" max="2581" width="17.19921875" style="27" customWidth="1"/>
    <col min="2582" max="2582" width="17.09765625" style="27" customWidth="1"/>
    <col min="2583" max="2583" width="18.3984375" style="27" customWidth="1"/>
    <col min="2584" max="2584" width="17" style="27" bestFit="1" customWidth="1"/>
    <col min="2585" max="2585" width="11.796875" style="27" bestFit="1" customWidth="1"/>
    <col min="2586" max="2587" width="12.69921875" style="27" bestFit="1" customWidth="1"/>
    <col min="2588" max="2588" width="16.296875" style="27" bestFit="1" customWidth="1"/>
    <col min="2589" max="2589" width="13.796875" style="27" bestFit="1" customWidth="1"/>
    <col min="2590" max="2816" width="8.19921875" style="27"/>
    <col min="2817" max="2817" width="41.69921875" style="27" customWidth="1"/>
    <col min="2818" max="2818" width="24.59765625" style="27" customWidth="1"/>
    <col min="2819" max="2819" width="22.8984375" style="27" customWidth="1"/>
    <col min="2820" max="2820" width="23.3984375" style="27" customWidth="1"/>
    <col min="2821" max="2821" width="17.09765625" style="27" customWidth="1"/>
    <col min="2822" max="2822" width="20.59765625" style="27" customWidth="1"/>
    <col min="2823" max="2823" width="17.3984375" style="27" customWidth="1"/>
    <col min="2824" max="2824" width="17.59765625" style="27" customWidth="1"/>
    <col min="2825" max="2825" width="18.09765625" style="27" customWidth="1"/>
    <col min="2826" max="2826" width="17.09765625" style="27" customWidth="1"/>
    <col min="2827" max="2827" width="20.296875" style="27" customWidth="1"/>
    <col min="2828" max="2828" width="22.3984375" style="27" customWidth="1"/>
    <col min="2829" max="2829" width="35.5" style="27" customWidth="1"/>
    <col min="2830" max="2830" width="17.5" style="27" customWidth="1"/>
    <col min="2831" max="2831" width="15.796875" style="27" customWidth="1"/>
    <col min="2832" max="2832" width="15" style="27" customWidth="1"/>
    <col min="2833" max="2833" width="15.796875" style="27" customWidth="1"/>
    <col min="2834" max="2834" width="20.19921875" style="27" customWidth="1"/>
    <col min="2835" max="2835" width="18.796875" style="27" customWidth="1"/>
    <col min="2836" max="2836" width="17.69921875" style="27" customWidth="1"/>
    <col min="2837" max="2837" width="17.19921875" style="27" customWidth="1"/>
    <col min="2838" max="2838" width="17.09765625" style="27" customWidth="1"/>
    <col min="2839" max="2839" width="18.3984375" style="27" customWidth="1"/>
    <col min="2840" max="2840" width="17" style="27" bestFit="1" customWidth="1"/>
    <col min="2841" max="2841" width="11.796875" style="27" bestFit="1" customWidth="1"/>
    <col min="2842" max="2843" width="12.69921875" style="27" bestFit="1" customWidth="1"/>
    <col min="2844" max="2844" width="16.296875" style="27" bestFit="1" customWidth="1"/>
    <col min="2845" max="2845" width="13.796875" style="27" bestFit="1" customWidth="1"/>
    <col min="2846" max="3072" width="8.19921875" style="27"/>
    <col min="3073" max="3073" width="41.69921875" style="27" customWidth="1"/>
    <col min="3074" max="3074" width="24.59765625" style="27" customWidth="1"/>
    <col min="3075" max="3075" width="22.8984375" style="27" customWidth="1"/>
    <col min="3076" max="3076" width="23.3984375" style="27" customWidth="1"/>
    <col min="3077" max="3077" width="17.09765625" style="27" customWidth="1"/>
    <col min="3078" max="3078" width="20.59765625" style="27" customWidth="1"/>
    <col min="3079" max="3079" width="17.3984375" style="27" customWidth="1"/>
    <col min="3080" max="3080" width="17.59765625" style="27" customWidth="1"/>
    <col min="3081" max="3081" width="18.09765625" style="27" customWidth="1"/>
    <col min="3082" max="3082" width="17.09765625" style="27" customWidth="1"/>
    <col min="3083" max="3083" width="20.296875" style="27" customWidth="1"/>
    <col min="3084" max="3084" width="22.3984375" style="27" customWidth="1"/>
    <col min="3085" max="3085" width="35.5" style="27" customWidth="1"/>
    <col min="3086" max="3086" width="17.5" style="27" customWidth="1"/>
    <col min="3087" max="3087" width="15.796875" style="27" customWidth="1"/>
    <col min="3088" max="3088" width="15" style="27" customWidth="1"/>
    <col min="3089" max="3089" width="15.796875" style="27" customWidth="1"/>
    <col min="3090" max="3090" width="20.19921875" style="27" customWidth="1"/>
    <col min="3091" max="3091" width="18.796875" style="27" customWidth="1"/>
    <col min="3092" max="3092" width="17.69921875" style="27" customWidth="1"/>
    <col min="3093" max="3093" width="17.19921875" style="27" customWidth="1"/>
    <col min="3094" max="3094" width="17.09765625" style="27" customWidth="1"/>
    <col min="3095" max="3095" width="18.3984375" style="27" customWidth="1"/>
    <col min="3096" max="3096" width="17" style="27" bestFit="1" customWidth="1"/>
    <col min="3097" max="3097" width="11.796875" style="27" bestFit="1" customWidth="1"/>
    <col min="3098" max="3099" width="12.69921875" style="27" bestFit="1" customWidth="1"/>
    <col min="3100" max="3100" width="16.296875" style="27" bestFit="1" customWidth="1"/>
    <col min="3101" max="3101" width="13.796875" style="27" bestFit="1" customWidth="1"/>
    <col min="3102" max="3328" width="8.19921875" style="27"/>
    <col min="3329" max="3329" width="41.69921875" style="27" customWidth="1"/>
    <col min="3330" max="3330" width="24.59765625" style="27" customWidth="1"/>
    <col min="3331" max="3331" width="22.8984375" style="27" customWidth="1"/>
    <col min="3332" max="3332" width="23.3984375" style="27" customWidth="1"/>
    <col min="3333" max="3333" width="17.09765625" style="27" customWidth="1"/>
    <col min="3334" max="3334" width="20.59765625" style="27" customWidth="1"/>
    <col min="3335" max="3335" width="17.3984375" style="27" customWidth="1"/>
    <col min="3336" max="3336" width="17.59765625" style="27" customWidth="1"/>
    <col min="3337" max="3337" width="18.09765625" style="27" customWidth="1"/>
    <col min="3338" max="3338" width="17.09765625" style="27" customWidth="1"/>
    <col min="3339" max="3339" width="20.296875" style="27" customWidth="1"/>
    <col min="3340" max="3340" width="22.3984375" style="27" customWidth="1"/>
    <col min="3341" max="3341" width="35.5" style="27" customWidth="1"/>
    <col min="3342" max="3342" width="17.5" style="27" customWidth="1"/>
    <col min="3343" max="3343" width="15.796875" style="27" customWidth="1"/>
    <col min="3344" max="3344" width="15" style="27" customWidth="1"/>
    <col min="3345" max="3345" width="15.796875" style="27" customWidth="1"/>
    <col min="3346" max="3346" width="20.19921875" style="27" customWidth="1"/>
    <col min="3347" max="3347" width="18.796875" style="27" customWidth="1"/>
    <col min="3348" max="3348" width="17.69921875" style="27" customWidth="1"/>
    <col min="3349" max="3349" width="17.19921875" style="27" customWidth="1"/>
    <col min="3350" max="3350" width="17.09765625" style="27" customWidth="1"/>
    <col min="3351" max="3351" width="18.3984375" style="27" customWidth="1"/>
    <col min="3352" max="3352" width="17" style="27" bestFit="1" customWidth="1"/>
    <col min="3353" max="3353" width="11.796875" style="27" bestFit="1" customWidth="1"/>
    <col min="3354" max="3355" width="12.69921875" style="27" bestFit="1" customWidth="1"/>
    <col min="3356" max="3356" width="16.296875" style="27" bestFit="1" customWidth="1"/>
    <col min="3357" max="3357" width="13.796875" style="27" bestFit="1" customWidth="1"/>
    <col min="3358" max="3584" width="8.19921875" style="27"/>
    <col min="3585" max="3585" width="41.69921875" style="27" customWidth="1"/>
    <col min="3586" max="3586" width="24.59765625" style="27" customWidth="1"/>
    <col min="3587" max="3587" width="22.8984375" style="27" customWidth="1"/>
    <col min="3588" max="3588" width="23.3984375" style="27" customWidth="1"/>
    <col min="3589" max="3589" width="17.09765625" style="27" customWidth="1"/>
    <col min="3590" max="3590" width="20.59765625" style="27" customWidth="1"/>
    <col min="3591" max="3591" width="17.3984375" style="27" customWidth="1"/>
    <col min="3592" max="3592" width="17.59765625" style="27" customWidth="1"/>
    <col min="3593" max="3593" width="18.09765625" style="27" customWidth="1"/>
    <col min="3594" max="3594" width="17.09765625" style="27" customWidth="1"/>
    <col min="3595" max="3595" width="20.296875" style="27" customWidth="1"/>
    <col min="3596" max="3596" width="22.3984375" style="27" customWidth="1"/>
    <col min="3597" max="3597" width="35.5" style="27" customWidth="1"/>
    <col min="3598" max="3598" width="17.5" style="27" customWidth="1"/>
    <col min="3599" max="3599" width="15.796875" style="27" customWidth="1"/>
    <col min="3600" max="3600" width="15" style="27" customWidth="1"/>
    <col min="3601" max="3601" width="15.796875" style="27" customWidth="1"/>
    <col min="3602" max="3602" width="20.19921875" style="27" customWidth="1"/>
    <col min="3603" max="3603" width="18.796875" style="27" customWidth="1"/>
    <col min="3604" max="3604" width="17.69921875" style="27" customWidth="1"/>
    <col min="3605" max="3605" width="17.19921875" style="27" customWidth="1"/>
    <col min="3606" max="3606" width="17.09765625" style="27" customWidth="1"/>
    <col min="3607" max="3607" width="18.3984375" style="27" customWidth="1"/>
    <col min="3608" max="3608" width="17" style="27" bestFit="1" customWidth="1"/>
    <col min="3609" max="3609" width="11.796875" style="27" bestFit="1" customWidth="1"/>
    <col min="3610" max="3611" width="12.69921875" style="27" bestFit="1" customWidth="1"/>
    <col min="3612" max="3612" width="16.296875" style="27" bestFit="1" customWidth="1"/>
    <col min="3613" max="3613" width="13.796875" style="27" bestFit="1" customWidth="1"/>
    <col min="3614" max="3840" width="8.19921875" style="27"/>
    <col min="3841" max="3841" width="41.69921875" style="27" customWidth="1"/>
    <col min="3842" max="3842" width="24.59765625" style="27" customWidth="1"/>
    <col min="3843" max="3843" width="22.8984375" style="27" customWidth="1"/>
    <col min="3844" max="3844" width="23.3984375" style="27" customWidth="1"/>
    <col min="3845" max="3845" width="17.09765625" style="27" customWidth="1"/>
    <col min="3846" max="3846" width="20.59765625" style="27" customWidth="1"/>
    <col min="3847" max="3847" width="17.3984375" style="27" customWidth="1"/>
    <col min="3848" max="3848" width="17.59765625" style="27" customWidth="1"/>
    <col min="3849" max="3849" width="18.09765625" style="27" customWidth="1"/>
    <col min="3850" max="3850" width="17.09765625" style="27" customWidth="1"/>
    <col min="3851" max="3851" width="20.296875" style="27" customWidth="1"/>
    <col min="3852" max="3852" width="22.3984375" style="27" customWidth="1"/>
    <col min="3853" max="3853" width="35.5" style="27" customWidth="1"/>
    <col min="3854" max="3854" width="17.5" style="27" customWidth="1"/>
    <col min="3855" max="3855" width="15.796875" style="27" customWidth="1"/>
    <col min="3856" max="3856" width="15" style="27" customWidth="1"/>
    <col min="3857" max="3857" width="15.796875" style="27" customWidth="1"/>
    <col min="3858" max="3858" width="20.19921875" style="27" customWidth="1"/>
    <col min="3859" max="3859" width="18.796875" style="27" customWidth="1"/>
    <col min="3860" max="3860" width="17.69921875" style="27" customWidth="1"/>
    <col min="3861" max="3861" width="17.19921875" style="27" customWidth="1"/>
    <col min="3862" max="3862" width="17.09765625" style="27" customWidth="1"/>
    <col min="3863" max="3863" width="18.3984375" style="27" customWidth="1"/>
    <col min="3864" max="3864" width="17" style="27" bestFit="1" customWidth="1"/>
    <col min="3865" max="3865" width="11.796875" style="27" bestFit="1" customWidth="1"/>
    <col min="3866" max="3867" width="12.69921875" style="27" bestFit="1" customWidth="1"/>
    <col min="3868" max="3868" width="16.296875" style="27" bestFit="1" customWidth="1"/>
    <col min="3869" max="3869" width="13.796875" style="27" bestFit="1" customWidth="1"/>
    <col min="3870" max="4096" width="8.19921875" style="27"/>
    <col min="4097" max="4097" width="41.69921875" style="27" customWidth="1"/>
    <col min="4098" max="4098" width="24.59765625" style="27" customWidth="1"/>
    <col min="4099" max="4099" width="22.8984375" style="27" customWidth="1"/>
    <col min="4100" max="4100" width="23.3984375" style="27" customWidth="1"/>
    <col min="4101" max="4101" width="17.09765625" style="27" customWidth="1"/>
    <col min="4102" max="4102" width="20.59765625" style="27" customWidth="1"/>
    <col min="4103" max="4103" width="17.3984375" style="27" customWidth="1"/>
    <col min="4104" max="4104" width="17.59765625" style="27" customWidth="1"/>
    <col min="4105" max="4105" width="18.09765625" style="27" customWidth="1"/>
    <col min="4106" max="4106" width="17.09765625" style="27" customWidth="1"/>
    <col min="4107" max="4107" width="20.296875" style="27" customWidth="1"/>
    <col min="4108" max="4108" width="22.3984375" style="27" customWidth="1"/>
    <col min="4109" max="4109" width="35.5" style="27" customWidth="1"/>
    <col min="4110" max="4110" width="17.5" style="27" customWidth="1"/>
    <col min="4111" max="4111" width="15.796875" style="27" customWidth="1"/>
    <col min="4112" max="4112" width="15" style="27" customWidth="1"/>
    <col min="4113" max="4113" width="15.796875" style="27" customWidth="1"/>
    <col min="4114" max="4114" width="20.19921875" style="27" customWidth="1"/>
    <col min="4115" max="4115" width="18.796875" style="27" customWidth="1"/>
    <col min="4116" max="4116" width="17.69921875" style="27" customWidth="1"/>
    <col min="4117" max="4117" width="17.19921875" style="27" customWidth="1"/>
    <col min="4118" max="4118" width="17.09765625" style="27" customWidth="1"/>
    <col min="4119" max="4119" width="18.3984375" style="27" customWidth="1"/>
    <col min="4120" max="4120" width="17" style="27" bestFit="1" customWidth="1"/>
    <col min="4121" max="4121" width="11.796875" style="27" bestFit="1" customWidth="1"/>
    <col min="4122" max="4123" width="12.69921875" style="27" bestFit="1" customWidth="1"/>
    <col min="4124" max="4124" width="16.296875" style="27" bestFit="1" customWidth="1"/>
    <col min="4125" max="4125" width="13.796875" style="27" bestFit="1" customWidth="1"/>
    <col min="4126" max="4352" width="8.19921875" style="27"/>
    <col min="4353" max="4353" width="41.69921875" style="27" customWidth="1"/>
    <col min="4354" max="4354" width="24.59765625" style="27" customWidth="1"/>
    <col min="4355" max="4355" width="22.8984375" style="27" customWidth="1"/>
    <col min="4356" max="4356" width="23.3984375" style="27" customWidth="1"/>
    <col min="4357" max="4357" width="17.09765625" style="27" customWidth="1"/>
    <col min="4358" max="4358" width="20.59765625" style="27" customWidth="1"/>
    <col min="4359" max="4359" width="17.3984375" style="27" customWidth="1"/>
    <col min="4360" max="4360" width="17.59765625" style="27" customWidth="1"/>
    <col min="4361" max="4361" width="18.09765625" style="27" customWidth="1"/>
    <col min="4362" max="4362" width="17.09765625" style="27" customWidth="1"/>
    <col min="4363" max="4363" width="20.296875" style="27" customWidth="1"/>
    <col min="4364" max="4364" width="22.3984375" style="27" customWidth="1"/>
    <col min="4365" max="4365" width="35.5" style="27" customWidth="1"/>
    <col min="4366" max="4366" width="17.5" style="27" customWidth="1"/>
    <col min="4367" max="4367" width="15.796875" style="27" customWidth="1"/>
    <col min="4368" max="4368" width="15" style="27" customWidth="1"/>
    <col min="4369" max="4369" width="15.796875" style="27" customWidth="1"/>
    <col min="4370" max="4370" width="20.19921875" style="27" customWidth="1"/>
    <col min="4371" max="4371" width="18.796875" style="27" customWidth="1"/>
    <col min="4372" max="4372" width="17.69921875" style="27" customWidth="1"/>
    <col min="4373" max="4373" width="17.19921875" style="27" customWidth="1"/>
    <col min="4374" max="4374" width="17.09765625" style="27" customWidth="1"/>
    <col min="4375" max="4375" width="18.3984375" style="27" customWidth="1"/>
    <col min="4376" max="4376" width="17" style="27" bestFit="1" customWidth="1"/>
    <col min="4377" max="4377" width="11.796875" style="27" bestFit="1" customWidth="1"/>
    <col min="4378" max="4379" width="12.69921875" style="27" bestFit="1" customWidth="1"/>
    <col min="4380" max="4380" width="16.296875" style="27" bestFit="1" customWidth="1"/>
    <col min="4381" max="4381" width="13.796875" style="27" bestFit="1" customWidth="1"/>
    <col min="4382" max="4608" width="8.19921875" style="27"/>
    <col min="4609" max="4609" width="41.69921875" style="27" customWidth="1"/>
    <col min="4610" max="4610" width="24.59765625" style="27" customWidth="1"/>
    <col min="4611" max="4611" width="22.8984375" style="27" customWidth="1"/>
    <col min="4612" max="4612" width="23.3984375" style="27" customWidth="1"/>
    <col min="4613" max="4613" width="17.09765625" style="27" customWidth="1"/>
    <col min="4614" max="4614" width="20.59765625" style="27" customWidth="1"/>
    <col min="4615" max="4615" width="17.3984375" style="27" customWidth="1"/>
    <col min="4616" max="4616" width="17.59765625" style="27" customWidth="1"/>
    <col min="4617" max="4617" width="18.09765625" style="27" customWidth="1"/>
    <col min="4618" max="4618" width="17.09765625" style="27" customWidth="1"/>
    <col min="4619" max="4619" width="20.296875" style="27" customWidth="1"/>
    <col min="4620" max="4620" width="22.3984375" style="27" customWidth="1"/>
    <col min="4621" max="4621" width="35.5" style="27" customWidth="1"/>
    <col min="4622" max="4622" width="17.5" style="27" customWidth="1"/>
    <col min="4623" max="4623" width="15.796875" style="27" customWidth="1"/>
    <col min="4624" max="4624" width="15" style="27" customWidth="1"/>
    <col min="4625" max="4625" width="15.796875" style="27" customWidth="1"/>
    <col min="4626" max="4626" width="20.19921875" style="27" customWidth="1"/>
    <col min="4627" max="4627" width="18.796875" style="27" customWidth="1"/>
    <col min="4628" max="4628" width="17.69921875" style="27" customWidth="1"/>
    <col min="4629" max="4629" width="17.19921875" style="27" customWidth="1"/>
    <col min="4630" max="4630" width="17.09765625" style="27" customWidth="1"/>
    <col min="4631" max="4631" width="18.3984375" style="27" customWidth="1"/>
    <col min="4632" max="4632" width="17" style="27" bestFit="1" customWidth="1"/>
    <col min="4633" max="4633" width="11.796875" style="27" bestFit="1" customWidth="1"/>
    <col min="4634" max="4635" width="12.69921875" style="27" bestFit="1" customWidth="1"/>
    <col min="4636" max="4636" width="16.296875" style="27" bestFit="1" customWidth="1"/>
    <col min="4637" max="4637" width="13.796875" style="27" bestFit="1" customWidth="1"/>
    <col min="4638" max="4864" width="8.19921875" style="27"/>
    <col min="4865" max="4865" width="41.69921875" style="27" customWidth="1"/>
    <col min="4866" max="4866" width="24.59765625" style="27" customWidth="1"/>
    <col min="4867" max="4867" width="22.8984375" style="27" customWidth="1"/>
    <col min="4868" max="4868" width="23.3984375" style="27" customWidth="1"/>
    <col min="4869" max="4869" width="17.09765625" style="27" customWidth="1"/>
    <col min="4870" max="4870" width="20.59765625" style="27" customWidth="1"/>
    <col min="4871" max="4871" width="17.3984375" style="27" customWidth="1"/>
    <col min="4872" max="4872" width="17.59765625" style="27" customWidth="1"/>
    <col min="4873" max="4873" width="18.09765625" style="27" customWidth="1"/>
    <col min="4874" max="4874" width="17.09765625" style="27" customWidth="1"/>
    <col min="4875" max="4875" width="20.296875" style="27" customWidth="1"/>
    <col min="4876" max="4876" width="22.3984375" style="27" customWidth="1"/>
    <col min="4877" max="4877" width="35.5" style="27" customWidth="1"/>
    <col min="4878" max="4878" width="17.5" style="27" customWidth="1"/>
    <col min="4879" max="4879" width="15.796875" style="27" customWidth="1"/>
    <col min="4880" max="4880" width="15" style="27" customWidth="1"/>
    <col min="4881" max="4881" width="15.796875" style="27" customWidth="1"/>
    <col min="4882" max="4882" width="20.19921875" style="27" customWidth="1"/>
    <col min="4883" max="4883" width="18.796875" style="27" customWidth="1"/>
    <col min="4884" max="4884" width="17.69921875" style="27" customWidth="1"/>
    <col min="4885" max="4885" width="17.19921875" style="27" customWidth="1"/>
    <col min="4886" max="4886" width="17.09765625" style="27" customWidth="1"/>
    <col min="4887" max="4887" width="18.3984375" style="27" customWidth="1"/>
    <col min="4888" max="4888" width="17" style="27" bestFit="1" customWidth="1"/>
    <col min="4889" max="4889" width="11.796875" style="27" bestFit="1" customWidth="1"/>
    <col min="4890" max="4891" width="12.69921875" style="27" bestFit="1" customWidth="1"/>
    <col min="4892" max="4892" width="16.296875" style="27" bestFit="1" customWidth="1"/>
    <col min="4893" max="4893" width="13.796875" style="27" bestFit="1" customWidth="1"/>
    <col min="4894" max="5120" width="8.19921875" style="27"/>
    <col min="5121" max="5121" width="41.69921875" style="27" customWidth="1"/>
    <col min="5122" max="5122" width="24.59765625" style="27" customWidth="1"/>
    <col min="5123" max="5123" width="22.8984375" style="27" customWidth="1"/>
    <col min="5124" max="5124" width="23.3984375" style="27" customWidth="1"/>
    <col min="5125" max="5125" width="17.09765625" style="27" customWidth="1"/>
    <col min="5126" max="5126" width="20.59765625" style="27" customWidth="1"/>
    <col min="5127" max="5127" width="17.3984375" style="27" customWidth="1"/>
    <col min="5128" max="5128" width="17.59765625" style="27" customWidth="1"/>
    <col min="5129" max="5129" width="18.09765625" style="27" customWidth="1"/>
    <col min="5130" max="5130" width="17.09765625" style="27" customWidth="1"/>
    <col min="5131" max="5131" width="20.296875" style="27" customWidth="1"/>
    <col min="5132" max="5132" width="22.3984375" style="27" customWidth="1"/>
    <col min="5133" max="5133" width="35.5" style="27" customWidth="1"/>
    <col min="5134" max="5134" width="17.5" style="27" customWidth="1"/>
    <col min="5135" max="5135" width="15.796875" style="27" customWidth="1"/>
    <col min="5136" max="5136" width="15" style="27" customWidth="1"/>
    <col min="5137" max="5137" width="15.796875" style="27" customWidth="1"/>
    <col min="5138" max="5138" width="20.19921875" style="27" customWidth="1"/>
    <col min="5139" max="5139" width="18.796875" style="27" customWidth="1"/>
    <col min="5140" max="5140" width="17.69921875" style="27" customWidth="1"/>
    <col min="5141" max="5141" width="17.19921875" style="27" customWidth="1"/>
    <col min="5142" max="5142" width="17.09765625" style="27" customWidth="1"/>
    <col min="5143" max="5143" width="18.3984375" style="27" customWidth="1"/>
    <col min="5144" max="5144" width="17" style="27" bestFit="1" customWidth="1"/>
    <col min="5145" max="5145" width="11.796875" style="27" bestFit="1" customWidth="1"/>
    <col min="5146" max="5147" width="12.69921875" style="27" bestFit="1" customWidth="1"/>
    <col min="5148" max="5148" width="16.296875" style="27" bestFit="1" customWidth="1"/>
    <col min="5149" max="5149" width="13.796875" style="27" bestFit="1" customWidth="1"/>
    <col min="5150" max="5376" width="8.19921875" style="27"/>
    <col min="5377" max="5377" width="41.69921875" style="27" customWidth="1"/>
    <col min="5378" max="5378" width="24.59765625" style="27" customWidth="1"/>
    <col min="5379" max="5379" width="22.8984375" style="27" customWidth="1"/>
    <col min="5380" max="5380" width="23.3984375" style="27" customWidth="1"/>
    <col min="5381" max="5381" width="17.09765625" style="27" customWidth="1"/>
    <col min="5382" max="5382" width="20.59765625" style="27" customWidth="1"/>
    <col min="5383" max="5383" width="17.3984375" style="27" customWidth="1"/>
    <col min="5384" max="5384" width="17.59765625" style="27" customWidth="1"/>
    <col min="5385" max="5385" width="18.09765625" style="27" customWidth="1"/>
    <col min="5386" max="5386" width="17.09765625" style="27" customWidth="1"/>
    <col min="5387" max="5387" width="20.296875" style="27" customWidth="1"/>
    <col min="5388" max="5388" width="22.3984375" style="27" customWidth="1"/>
    <col min="5389" max="5389" width="35.5" style="27" customWidth="1"/>
    <col min="5390" max="5390" width="17.5" style="27" customWidth="1"/>
    <col min="5391" max="5391" width="15.796875" style="27" customWidth="1"/>
    <col min="5392" max="5392" width="15" style="27" customWidth="1"/>
    <col min="5393" max="5393" width="15.796875" style="27" customWidth="1"/>
    <col min="5394" max="5394" width="20.19921875" style="27" customWidth="1"/>
    <col min="5395" max="5395" width="18.796875" style="27" customWidth="1"/>
    <col min="5396" max="5396" width="17.69921875" style="27" customWidth="1"/>
    <col min="5397" max="5397" width="17.19921875" style="27" customWidth="1"/>
    <col min="5398" max="5398" width="17.09765625" style="27" customWidth="1"/>
    <col min="5399" max="5399" width="18.3984375" style="27" customWidth="1"/>
    <col min="5400" max="5400" width="17" style="27" bestFit="1" customWidth="1"/>
    <col min="5401" max="5401" width="11.796875" style="27" bestFit="1" customWidth="1"/>
    <col min="5402" max="5403" width="12.69921875" style="27" bestFit="1" customWidth="1"/>
    <col min="5404" max="5404" width="16.296875" style="27" bestFit="1" customWidth="1"/>
    <col min="5405" max="5405" width="13.796875" style="27" bestFit="1" customWidth="1"/>
    <col min="5406" max="5632" width="8.19921875" style="27"/>
    <col min="5633" max="5633" width="41.69921875" style="27" customWidth="1"/>
    <col min="5634" max="5634" width="24.59765625" style="27" customWidth="1"/>
    <col min="5635" max="5635" width="22.8984375" style="27" customWidth="1"/>
    <col min="5636" max="5636" width="23.3984375" style="27" customWidth="1"/>
    <col min="5637" max="5637" width="17.09765625" style="27" customWidth="1"/>
    <col min="5638" max="5638" width="20.59765625" style="27" customWidth="1"/>
    <col min="5639" max="5639" width="17.3984375" style="27" customWidth="1"/>
    <col min="5640" max="5640" width="17.59765625" style="27" customWidth="1"/>
    <col min="5641" max="5641" width="18.09765625" style="27" customWidth="1"/>
    <col min="5642" max="5642" width="17.09765625" style="27" customWidth="1"/>
    <col min="5643" max="5643" width="20.296875" style="27" customWidth="1"/>
    <col min="5644" max="5644" width="22.3984375" style="27" customWidth="1"/>
    <col min="5645" max="5645" width="35.5" style="27" customWidth="1"/>
    <col min="5646" max="5646" width="17.5" style="27" customWidth="1"/>
    <col min="5647" max="5647" width="15.796875" style="27" customWidth="1"/>
    <col min="5648" max="5648" width="15" style="27" customWidth="1"/>
    <col min="5649" max="5649" width="15.796875" style="27" customWidth="1"/>
    <col min="5650" max="5650" width="20.19921875" style="27" customWidth="1"/>
    <col min="5651" max="5651" width="18.796875" style="27" customWidth="1"/>
    <col min="5652" max="5652" width="17.69921875" style="27" customWidth="1"/>
    <col min="5653" max="5653" width="17.19921875" style="27" customWidth="1"/>
    <col min="5654" max="5654" width="17.09765625" style="27" customWidth="1"/>
    <col min="5655" max="5655" width="18.3984375" style="27" customWidth="1"/>
    <col min="5656" max="5656" width="17" style="27" bestFit="1" customWidth="1"/>
    <col min="5657" max="5657" width="11.796875" style="27" bestFit="1" customWidth="1"/>
    <col min="5658" max="5659" width="12.69921875" style="27" bestFit="1" customWidth="1"/>
    <col min="5660" max="5660" width="16.296875" style="27" bestFit="1" customWidth="1"/>
    <col min="5661" max="5661" width="13.796875" style="27" bestFit="1" customWidth="1"/>
    <col min="5662" max="5888" width="8.19921875" style="27"/>
    <col min="5889" max="5889" width="41.69921875" style="27" customWidth="1"/>
    <col min="5890" max="5890" width="24.59765625" style="27" customWidth="1"/>
    <col min="5891" max="5891" width="22.8984375" style="27" customWidth="1"/>
    <col min="5892" max="5892" width="23.3984375" style="27" customWidth="1"/>
    <col min="5893" max="5893" width="17.09765625" style="27" customWidth="1"/>
    <col min="5894" max="5894" width="20.59765625" style="27" customWidth="1"/>
    <col min="5895" max="5895" width="17.3984375" style="27" customWidth="1"/>
    <col min="5896" max="5896" width="17.59765625" style="27" customWidth="1"/>
    <col min="5897" max="5897" width="18.09765625" style="27" customWidth="1"/>
    <col min="5898" max="5898" width="17.09765625" style="27" customWidth="1"/>
    <col min="5899" max="5899" width="20.296875" style="27" customWidth="1"/>
    <col min="5900" max="5900" width="22.3984375" style="27" customWidth="1"/>
    <col min="5901" max="5901" width="35.5" style="27" customWidth="1"/>
    <col min="5902" max="5902" width="17.5" style="27" customWidth="1"/>
    <col min="5903" max="5903" width="15.796875" style="27" customWidth="1"/>
    <col min="5904" max="5904" width="15" style="27" customWidth="1"/>
    <col min="5905" max="5905" width="15.796875" style="27" customWidth="1"/>
    <col min="5906" max="5906" width="20.19921875" style="27" customWidth="1"/>
    <col min="5907" max="5907" width="18.796875" style="27" customWidth="1"/>
    <col min="5908" max="5908" width="17.69921875" style="27" customWidth="1"/>
    <col min="5909" max="5909" width="17.19921875" style="27" customWidth="1"/>
    <col min="5910" max="5910" width="17.09765625" style="27" customWidth="1"/>
    <col min="5911" max="5911" width="18.3984375" style="27" customWidth="1"/>
    <col min="5912" max="5912" width="17" style="27" bestFit="1" customWidth="1"/>
    <col min="5913" max="5913" width="11.796875" style="27" bestFit="1" customWidth="1"/>
    <col min="5914" max="5915" width="12.69921875" style="27" bestFit="1" customWidth="1"/>
    <col min="5916" max="5916" width="16.296875" style="27" bestFit="1" customWidth="1"/>
    <col min="5917" max="5917" width="13.796875" style="27" bestFit="1" customWidth="1"/>
    <col min="5918" max="6144" width="8.19921875" style="27"/>
    <col min="6145" max="6145" width="41.69921875" style="27" customWidth="1"/>
    <col min="6146" max="6146" width="24.59765625" style="27" customWidth="1"/>
    <col min="6147" max="6147" width="22.8984375" style="27" customWidth="1"/>
    <col min="6148" max="6148" width="23.3984375" style="27" customWidth="1"/>
    <col min="6149" max="6149" width="17.09765625" style="27" customWidth="1"/>
    <col min="6150" max="6150" width="20.59765625" style="27" customWidth="1"/>
    <col min="6151" max="6151" width="17.3984375" style="27" customWidth="1"/>
    <col min="6152" max="6152" width="17.59765625" style="27" customWidth="1"/>
    <col min="6153" max="6153" width="18.09765625" style="27" customWidth="1"/>
    <col min="6154" max="6154" width="17.09765625" style="27" customWidth="1"/>
    <col min="6155" max="6155" width="20.296875" style="27" customWidth="1"/>
    <col min="6156" max="6156" width="22.3984375" style="27" customWidth="1"/>
    <col min="6157" max="6157" width="35.5" style="27" customWidth="1"/>
    <col min="6158" max="6158" width="17.5" style="27" customWidth="1"/>
    <col min="6159" max="6159" width="15.796875" style="27" customWidth="1"/>
    <col min="6160" max="6160" width="15" style="27" customWidth="1"/>
    <col min="6161" max="6161" width="15.796875" style="27" customWidth="1"/>
    <col min="6162" max="6162" width="20.19921875" style="27" customWidth="1"/>
    <col min="6163" max="6163" width="18.796875" style="27" customWidth="1"/>
    <col min="6164" max="6164" width="17.69921875" style="27" customWidth="1"/>
    <col min="6165" max="6165" width="17.19921875" style="27" customWidth="1"/>
    <col min="6166" max="6166" width="17.09765625" style="27" customWidth="1"/>
    <col min="6167" max="6167" width="18.3984375" style="27" customWidth="1"/>
    <col min="6168" max="6168" width="17" style="27" bestFit="1" customWidth="1"/>
    <col min="6169" max="6169" width="11.796875" style="27" bestFit="1" customWidth="1"/>
    <col min="6170" max="6171" width="12.69921875" style="27" bestFit="1" customWidth="1"/>
    <col min="6172" max="6172" width="16.296875" style="27" bestFit="1" customWidth="1"/>
    <col min="6173" max="6173" width="13.796875" style="27" bestFit="1" customWidth="1"/>
    <col min="6174" max="6400" width="8.19921875" style="27"/>
    <col min="6401" max="6401" width="41.69921875" style="27" customWidth="1"/>
    <col min="6402" max="6402" width="24.59765625" style="27" customWidth="1"/>
    <col min="6403" max="6403" width="22.8984375" style="27" customWidth="1"/>
    <col min="6404" max="6404" width="23.3984375" style="27" customWidth="1"/>
    <col min="6405" max="6405" width="17.09765625" style="27" customWidth="1"/>
    <col min="6406" max="6406" width="20.59765625" style="27" customWidth="1"/>
    <col min="6407" max="6407" width="17.3984375" style="27" customWidth="1"/>
    <col min="6408" max="6408" width="17.59765625" style="27" customWidth="1"/>
    <col min="6409" max="6409" width="18.09765625" style="27" customWidth="1"/>
    <col min="6410" max="6410" width="17.09765625" style="27" customWidth="1"/>
    <col min="6411" max="6411" width="20.296875" style="27" customWidth="1"/>
    <col min="6412" max="6412" width="22.3984375" style="27" customWidth="1"/>
    <col min="6413" max="6413" width="35.5" style="27" customWidth="1"/>
    <col min="6414" max="6414" width="17.5" style="27" customWidth="1"/>
    <col min="6415" max="6415" width="15.796875" style="27" customWidth="1"/>
    <col min="6416" max="6416" width="15" style="27" customWidth="1"/>
    <col min="6417" max="6417" width="15.796875" style="27" customWidth="1"/>
    <col min="6418" max="6418" width="20.19921875" style="27" customWidth="1"/>
    <col min="6419" max="6419" width="18.796875" style="27" customWidth="1"/>
    <col min="6420" max="6420" width="17.69921875" style="27" customWidth="1"/>
    <col min="6421" max="6421" width="17.19921875" style="27" customWidth="1"/>
    <col min="6422" max="6422" width="17.09765625" style="27" customWidth="1"/>
    <col min="6423" max="6423" width="18.3984375" style="27" customWidth="1"/>
    <col min="6424" max="6424" width="17" style="27" bestFit="1" customWidth="1"/>
    <col min="6425" max="6425" width="11.796875" style="27" bestFit="1" customWidth="1"/>
    <col min="6426" max="6427" width="12.69921875" style="27" bestFit="1" customWidth="1"/>
    <col min="6428" max="6428" width="16.296875" style="27" bestFit="1" customWidth="1"/>
    <col min="6429" max="6429" width="13.796875" style="27" bestFit="1" customWidth="1"/>
    <col min="6430" max="6656" width="8.19921875" style="27"/>
    <col min="6657" max="6657" width="41.69921875" style="27" customWidth="1"/>
    <col min="6658" max="6658" width="24.59765625" style="27" customWidth="1"/>
    <col min="6659" max="6659" width="22.8984375" style="27" customWidth="1"/>
    <col min="6660" max="6660" width="23.3984375" style="27" customWidth="1"/>
    <col min="6661" max="6661" width="17.09765625" style="27" customWidth="1"/>
    <col min="6662" max="6662" width="20.59765625" style="27" customWidth="1"/>
    <col min="6663" max="6663" width="17.3984375" style="27" customWidth="1"/>
    <col min="6664" max="6664" width="17.59765625" style="27" customWidth="1"/>
    <col min="6665" max="6665" width="18.09765625" style="27" customWidth="1"/>
    <col min="6666" max="6666" width="17.09765625" style="27" customWidth="1"/>
    <col min="6667" max="6667" width="20.296875" style="27" customWidth="1"/>
    <col min="6668" max="6668" width="22.3984375" style="27" customWidth="1"/>
    <col min="6669" max="6669" width="35.5" style="27" customWidth="1"/>
    <col min="6670" max="6670" width="17.5" style="27" customWidth="1"/>
    <col min="6671" max="6671" width="15.796875" style="27" customWidth="1"/>
    <col min="6672" max="6672" width="15" style="27" customWidth="1"/>
    <col min="6673" max="6673" width="15.796875" style="27" customWidth="1"/>
    <col min="6674" max="6674" width="20.19921875" style="27" customWidth="1"/>
    <col min="6675" max="6675" width="18.796875" style="27" customWidth="1"/>
    <col min="6676" max="6676" width="17.69921875" style="27" customWidth="1"/>
    <col min="6677" max="6677" width="17.19921875" style="27" customWidth="1"/>
    <col min="6678" max="6678" width="17.09765625" style="27" customWidth="1"/>
    <col min="6679" max="6679" width="18.3984375" style="27" customWidth="1"/>
    <col min="6680" max="6680" width="17" style="27" bestFit="1" customWidth="1"/>
    <col min="6681" max="6681" width="11.796875" style="27" bestFit="1" customWidth="1"/>
    <col min="6682" max="6683" width="12.69921875" style="27" bestFit="1" customWidth="1"/>
    <col min="6684" max="6684" width="16.296875" style="27" bestFit="1" customWidth="1"/>
    <col min="6685" max="6685" width="13.796875" style="27" bestFit="1" customWidth="1"/>
    <col min="6686" max="6912" width="8.19921875" style="27"/>
    <col min="6913" max="6913" width="41.69921875" style="27" customWidth="1"/>
    <col min="6914" max="6914" width="24.59765625" style="27" customWidth="1"/>
    <col min="6915" max="6915" width="22.8984375" style="27" customWidth="1"/>
    <col min="6916" max="6916" width="23.3984375" style="27" customWidth="1"/>
    <col min="6917" max="6917" width="17.09765625" style="27" customWidth="1"/>
    <col min="6918" max="6918" width="20.59765625" style="27" customWidth="1"/>
    <col min="6919" max="6919" width="17.3984375" style="27" customWidth="1"/>
    <col min="6920" max="6920" width="17.59765625" style="27" customWidth="1"/>
    <col min="6921" max="6921" width="18.09765625" style="27" customWidth="1"/>
    <col min="6922" max="6922" width="17.09765625" style="27" customWidth="1"/>
    <col min="6923" max="6923" width="20.296875" style="27" customWidth="1"/>
    <col min="6924" max="6924" width="22.3984375" style="27" customWidth="1"/>
    <col min="6925" max="6925" width="35.5" style="27" customWidth="1"/>
    <col min="6926" max="6926" width="17.5" style="27" customWidth="1"/>
    <col min="6927" max="6927" width="15.796875" style="27" customWidth="1"/>
    <col min="6928" max="6928" width="15" style="27" customWidth="1"/>
    <col min="6929" max="6929" width="15.796875" style="27" customWidth="1"/>
    <col min="6930" max="6930" width="20.19921875" style="27" customWidth="1"/>
    <col min="6931" max="6931" width="18.796875" style="27" customWidth="1"/>
    <col min="6932" max="6932" width="17.69921875" style="27" customWidth="1"/>
    <col min="6933" max="6933" width="17.19921875" style="27" customWidth="1"/>
    <col min="6934" max="6934" width="17.09765625" style="27" customWidth="1"/>
    <col min="6935" max="6935" width="18.3984375" style="27" customWidth="1"/>
    <col min="6936" max="6936" width="17" style="27" bestFit="1" customWidth="1"/>
    <col min="6937" max="6937" width="11.796875" style="27" bestFit="1" customWidth="1"/>
    <col min="6938" max="6939" width="12.69921875" style="27" bestFit="1" customWidth="1"/>
    <col min="6940" max="6940" width="16.296875" style="27" bestFit="1" customWidth="1"/>
    <col min="6941" max="6941" width="13.796875" style="27" bestFit="1" customWidth="1"/>
    <col min="6942" max="7168" width="8.19921875" style="27"/>
    <col min="7169" max="7169" width="41.69921875" style="27" customWidth="1"/>
    <col min="7170" max="7170" width="24.59765625" style="27" customWidth="1"/>
    <col min="7171" max="7171" width="22.8984375" style="27" customWidth="1"/>
    <col min="7172" max="7172" width="23.3984375" style="27" customWidth="1"/>
    <col min="7173" max="7173" width="17.09765625" style="27" customWidth="1"/>
    <col min="7174" max="7174" width="20.59765625" style="27" customWidth="1"/>
    <col min="7175" max="7175" width="17.3984375" style="27" customWidth="1"/>
    <col min="7176" max="7176" width="17.59765625" style="27" customWidth="1"/>
    <col min="7177" max="7177" width="18.09765625" style="27" customWidth="1"/>
    <col min="7178" max="7178" width="17.09765625" style="27" customWidth="1"/>
    <col min="7179" max="7179" width="20.296875" style="27" customWidth="1"/>
    <col min="7180" max="7180" width="22.3984375" style="27" customWidth="1"/>
    <col min="7181" max="7181" width="35.5" style="27" customWidth="1"/>
    <col min="7182" max="7182" width="17.5" style="27" customWidth="1"/>
    <col min="7183" max="7183" width="15.796875" style="27" customWidth="1"/>
    <col min="7184" max="7184" width="15" style="27" customWidth="1"/>
    <col min="7185" max="7185" width="15.796875" style="27" customWidth="1"/>
    <col min="7186" max="7186" width="20.19921875" style="27" customWidth="1"/>
    <col min="7187" max="7187" width="18.796875" style="27" customWidth="1"/>
    <col min="7188" max="7188" width="17.69921875" style="27" customWidth="1"/>
    <col min="7189" max="7189" width="17.19921875" style="27" customWidth="1"/>
    <col min="7190" max="7190" width="17.09765625" style="27" customWidth="1"/>
    <col min="7191" max="7191" width="18.3984375" style="27" customWidth="1"/>
    <col min="7192" max="7192" width="17" style="27" bestFit="1" customWidth="1"/>
    <col min="7193" max="7193" width="11.796875" style="27" bestFit="1" customWidth="1"/>
    <col min="7194" max="7195" width="12.69921875" style="27" bestFit="1" customWidth="1"/>
    <col min="7196" max="7196" width="16.296875" style="27" bestFit="1" customWidth="1"/>
    <col min="7197" max="7197" width="13.796875" style="27" bestFit="1" customWidth="1"/>
    <col min="7198" max="7424" width="8.19921875" style="27"/>
    <col min="7425" max="7425" width="41.69921875" style="27" customWidth="1"/>
    <col min="7426" max="7426" width="24.59765625" style="27" customWidth="1"/>
    <col min="7427" max="7427" width="22.8984375" style="27" customWidth="1"/>
    <col min="7428" max="7428" width="23.3984375" style="27" customWidth="1"/>
    <col min="7429" max="7429" width="17.09765625" style="27" customWidth="1"/>
    <col min="7430" max="7430" width="20.59765625" style="27" customWidth="1"/>
    <col min="7431" max="7431" width="17.3984375" style="27" customWidth="1"/>
    <col min="7432" max="7432" width="17.59765625" style="27" customWidth="1"/>
    <col min="7433" max="7433" width="18.09765625" style="27" customWidth="1"/>
    <col min="7434" max="7434" width="17.09765625" style="27" customWidth="1"/>
    <col min="7435" max="7435" width="20.296875" style="27" customWidth="1"/>
    <col min="7436" max="7436" width="22.3984375" style="27" customWidth="1"/>
    <col min="7437" max="7437" width="35.5" style="27" customWidth="1"/>
    <col min="7438" max="7438" width="17.5" style="27" customWidth="1"/>
    <col min="7439" max="7439" width="15.796875" style="27" customWidth="1"/>
    <col min="7440" max="7440" width="15" style="27" customWidth="1"/>
    <col min="7441" max="7441" width="15.796875" style="27" customWidth="1"/>
    <col min="7442" max="7442" width="20.19921875" style="27" customWidth="1"/>
    <col min="7443" max="7443" width="18.796875" style="27" customWidth="1"/>
    <col min="7444" max="7444" width="17.69921875" style="27" customWidth="1"/>
    <col min="7445" max="7445" width="17.19921875" style="27" customWidth="1"/>
    <col min="7446" max="7446" width="17.09765625" style="27" customWidth="1"/>
    <col min="7447" max="7447" width="18.3984375" style="27" customWidth="1"/>
    <col min="7448" max="7448" width="17" style="27" bestFit="1" customWidth="1"/>
    <col min="7449" max="7449" width="11.796875" style="27" bestFit="1" customWidth="1"/>
    <col min="7450" max="7451" width="12.69921875" style="27" bestFit="1" customWidth="1"/>
    <col min="7452" max="7452" width="16.296875" style="27" bestFit="1" customWidth="1"/>
    <col min="7453" max="7453" width="13.796875" style="27" bestFit="1" customWidth="1"/>
    <col min="7454" max="7680" width="8.19921875" style="27"/>
    <col min="7681" max="7681" width="41.69921875" style="27" customWidth="1"/>
    <col min="7682" max="7682" width="24.59765625" style="27" customWidth="1"/>
    <col min="7683" max="7683" width="22.8984375" style="27" customWidth="1"/>
    <col min="7684" max="7684" width="23.3984375" style="27" customWidth="1"/>
    <col min="7685" max="7685" width="17.09765625" style="27" customWidth="1"/>
    <col min="7686" max="7686" width="20.59765625" style="27" customWidth="1"/>
    <col min="7687" max="7687" width="17.3984375" style="27" customWidth="1"/>
    <col min="7688" max="7688" width="17.59765625" style="27" customWidth="1"/>
    <col min="7689" max="7689" width="18.09765625" style="27" customWidth="1"/>
    <col min="7690" max="7690" width="17.09765625" style="27" customWidth="1"/>
    <col min="7691" max="7691" width="20.296875" style="27" customWidth="1"/>
    <col min="7692" max="7692" width="22.3984375" style="27" customWidth="1"/>
    <col min="7693" max="7693" width="35.5" style="27" customWidth="1"/>
    <col min="7694" max="7694" width="17.5" style="27" customWidth="1"/>
    <col min="7695" max="7695" width="15.796875" style="27" customWidth="1"/>
    <col min="7696" max="7696" width="15" style="27" customWidth="1"/>
    <col min="7697" max="7697" width="15.796875" style="27" customWidth="1"/>
    <col min="7698" max="7698" width="20.19921875" style="27" customWidth="1"/>
    <col min="7699" max="7699" width="18.796875" style="27" customWidth="1"/>
    <col min="7700" max="7700" width="17.69921875" style="27" customWidth="1"/>
    <col min="7701" max="7701" width="17.19921875" style="27" customWidth="1"/>
    <col min="7702" max="7702" width="17.09765625" style="27" customWidth="1"/>
    <col min="7703" max="7703" width="18.3984375" style="27" customWidth="1"/>
    <col min="7704" max="7704" width="17" style="27" bestFit="1" customWidth="1"/>
    <col min="7705" max="7705" width="11.796875" style="27" bestFit="1" customWidth="1"/>
    <col min="7706" max="7707" width="12.69921875" style="27" bestFit="1" customWidth="1"/>
    <col min="7708" max="7708" width="16.296875" style="27" bestFit="1" customWidth="1"/>
    <col min="7709" max="7709" width="13.796875" style="27" bestFit="1" customWidth="1"/>
    <col min="7710" max="7936" width="8.19921875" style="27"/>
    <col min="7937" max="7937" width="41.69921875" style="27" customWidth="1"/>
    <col min="7938" max="7938" width="24.59765625" style="27" customWidth="1"/>
    <col min="7939" max="7939" width="22.8984375" style="27" customWidth="1"/>
    <col min="7940" max="7940" width="23.3984375" style="27" customWidth="1"/>
    <col min="7941" max="7941" width="17.09765625" style="27" customWidth="1"/>
    <col min="7942" max="7942" width="20.59765625" style="27" customWidth="1"/>
    <col min="7943" max="7943" width="17.3984375" style="27" customWidth="1"/>
    <col min="7944" max="7944" width="17.59765625" style="27" customWidth="1"/>
    <col min="7945" max="7945" width="18.09765625" style="27" customWidth="1"/>
    <col min="7946" max="7946" width="17.09765625" style="27" customWidth="1"/>
    <col min="7947" max="7947" width="20.296875" style="27" customWidth="1"/>
    <col min="7948" max="7948" width="22.3984375" style="27" customWidth="1"/>
    <col min="7949" max="7949" width="35.5" style="27" customWidth="1"/>
    <col min="7950" max="7950" width="17.5" style="27" customWidth="1"/>
    <col min="7951" max="7951" width="15.796875" style="27" customWidth="1"/>
    <col min="7952" max="7952" width="15" style="27" customWidth="1"/>
    <col min="7953" max="7953" width="15.796875" style="27" customWidth="1"/>
    <col min="7954" max="7954" width="20.19921875" style="27" customWidth="1"/>
    <col min="7955" max="7955" width="18.796875" style="27" customWidth="1"/>
    <col min="7956" max="7956" width="17.69921875" style="27" customWidth="1"/>
    <col min="7957" max="7957" width="17.19921875" style="27" customWidth="1"/>
    <col min="7958" max="7958" width="17.09765625" style="27" customWidth="1"/>
    <col min="7959" max="7959" width="18.3984375" style="27" customWidth="1"/>
    <col min="7960" max="7960" width="17" style="27" bestFit="1" customWidth="1"/>
    <col min="7961" max="7961" width="11.796875" style="27" bestFit="1" customWidth="1"/>
    <col min="7962" max="7963" width="12.69921875" style="27" bestFit="1" customWidth="1"/>
    <col min="7964" max="7964" width="16.296875" style="27" bestFit="1" customWidth="1"/>
    <col min="7965" max="7965" width="13.796875" style="27" bestFit="1" customWidth="1"/>
    <col min="7966" max="8192" width="8.19921875" style="27"/>
    <col min="8193" max="8193" width="41.69921875" style="27" customWidth="1"/>
    <col min="8194" max="8194" width="24.59765625" style="27" customWidth="1"/>
    <col min="8195" max="8195" width="22.8984375" style="27" customWidth="1"/>
    <col min="8196" max="8196" width="23.3984375" style="27" customWidth="1"/>
    <col min="8197" max="8197" width="17.09765625" style="27" customWidth="1"/>
    <col min="8198" max="8198" width="20.59765625" style="27" customWidth="1"/>
    <col min="8199" max="8199" width="17.3984375" style="27" customWidth="1"/>
    <col min="8200" max="8200" width="17.59765625" style="27" customWidth="1"/>
    <col min="8201" max="8201" width="18.09765625" style="27" customWidth="1"/>
    <col min="8202" max="8202" width="17.09765625" style="27" customWidth="1"/>
    <col min="8203" max="8203" width="20.296875" style="27" customWidth="1"/>
    <col min="8204" max="8204" width="22.3984375" style="27" customWidth="1"/>
    <col min="8205" max="8205" width="35.5" style="27" customWidth="1"/>
    <col min="8206" max="8206" width="17.5" style="27" customWidth="1"/>
    <col min="8207" max="8207" width="15.796875" style="27" customWidth="1"/>
    <col min="8208" max="8208" width="15" style="27" customWidth="1"/>
    <col min="8209" max="8209" width="15.796875" style="27" customWidth="1"/>
    <col min="8210" max="8210" width="20.19921875" style="27" customWidth="1"/>
    <col min="8211" max="8211" width="18.796875" style="27" customWidth="1"/>
    <col min="8212" max="8212" width="17.69921875" style="27" customWidth="1"/>
    <col min="8213" max="8213" width="17.19921875" style="27" customWidth="1"/>
    <col min="8214" max="8214" width="17.09765625" style="27" customWidth="1"/>
    <col min="8215" max="8215" width="18.3984375" style="27" customWidth="1"/>
    <col min="8216" max="8216" width="17" style="27" bestFit="1" customWidth="1"/>
    <col min="8217" max="8217" width="11.796875" style="27" bestFit="1" customWidth="1"/>
    <col min="8218" max="8219" width="12.69921875" style="27" bestFit="1" customWidth="1"/>
    <col min="8220" max="8220" width="16.296875" style="27" bestFit="1" customWidth="1"/>
    <col min="8221" max="8221" width="13.796875" style="27" bestFit="1" customWidth="1"/>
    <col min="8222" max="8448" width="8.19921875" style="27"/>
    <col min="8449" max="8449" width="41.69921875" style="27" customWidth="1"/>
    <col min="8450" max="8450" width="24.59765625" style="27" customWidth="1"/>
    <col min="8451" max="8451" width="22.8984375" style="27" customWidth="1"/>
    <col min="8452" max="8452" width="23.3984375" style="27" customWidth="1"/>
    <col min="8453" max="8453" width="17.09765625" style="27" customWidth="1"/>
    <col min="8454" max="8454" width="20.59765625" style="27" customWidth="1"/>
    <col min="8455" max="8455" width="17.3984375" style="27" customWidth="1"/>
    <col min="8456" max="8456" width="17.59765625" style="27" customWidth="1"/>
    <col min="8457" max="8457" width="18.09765625" style="27" customWidth="1"/>
    <col min="8458" max="8458" width="17.09765625" style="27" customWidth="1"/>
    <col min="8459" max="8459" width="20.296875" style="27" customWidth="1"/>
    <col min="8460" max="8460" width="22.3984375" style="27" customWidth="1"/>
    <col min="8461" max="8461" width="35.5" style="27" customWidth="1"/>
    <col min="8462" max="8462" width="17.5" style="27" customWidth="1"/>
    <col min="8463" max="8463" width="15.796875" style="27" customWidth="1"/>
    <col min="8464" max="8464" width="15" style="27" customWidth="1"/>
    <col min="8465" max="8465" width="15.796875" style="27" customWidth="1"/>
    <col min="8466" max="8466" width="20.19921875" style="27" customWidth="1"/>
    <col min="8467" max="8467" width="18.796875" style="27" customWidth="1"/>
    <col min="8468" max="8468" width="17.69921875" style="27" customWidth="1"/>
    <col min="8469" max="8469" width="17.19921875" style="27" customWidth="1"/>
    <col min="8470" max="8470" width="17.09765625" style="27" customWidth="1"/>
    <col min="8471" max="8471" width="18.3984375" style="27" customWidth="1"/>
    <col min="8472" max="8472" width="17" style="27" bestFit="1" customWidth="1"/>
    <col min="8473" max="8473" width="11.796875" style="27" bestFit="1" customWidth="1"/>
    <col min="8474" max="8475" width="12.69921875" style="27" bestFit="1" customWidth="1"/>
    <col min="8476" max="8476" width="16.296875" style="27" bestFit="1" customWidth="1"/>
    <col min="8477" max="8477" width="13.796875" style="27" bestFit="1" customWidth="1"/>
    <col min="8478" max="8704" width="8.19921875" style="27"/>
    <col min="8705" max="8705" width="41.69921875" style="27" customWidth="1"/>
    <col min="8706" max="8706" width="24.59765625" style="27" customWidth="1"/>
    <col min="8707" max="8707" width="22.8984375" style="27" customWidth="1"/>
    <col min="8708" max="8708" width="23.3984375" style="27" customWidth="1"/>
    <col min="8709" max="8709" width="17.09765625" style="27" customWidth="1"/>
    <col min="8710" max="8710" width="20.59765625" style="27" customWidth="1"/>
    <col min="8711" max="8711" width="17.3984375" style="27" customWidth="1"/>
    <col min="8712" max="8712" width="17.59765625" style="27" customWidth="1"/>
    <col min="8713" max="8713" width="18.09765625" style="27" customWidth="1"/>
    <col min="8714" max="8714" width="17.09765625" style="27" customWidth="1"/>
    <col min="8715" max="8715" width="20.296875" style="27" customWidth="1"/>
    <col min="8716" max="8716" width="22.3984375" style="27" customWidth="1"/>
    <col min="8717" max="8717" width="35.5" style="27" customWidth="1"/>
    <col min="8718" max="8718" width="17.5" style="27" customWidth="1"/>
    <col min="8719" max="8719" width="15.796875" style="27" customWidth="1"/>
    <col min="8720" max="8720" width="15" style="27" customWidth="1"/>
    <col min="8721" max="8721" width="15.796875" style="27" customWidth="1"/>
    <col min="8722" max="8722" width="20.19921875" style="27" customWidth="1"/>
    <col min="8723" max="8723" width="18.796875" style="27" customWidth="1"/>
    <col min="8724" max="8724" width="17.69921875" style="27" customWidth="1"/>
    <col min="8725" max="8725" width="17.19921875" style="27" customWidth="1"/>
    <col min="8726" max="8726" width="17.09765625" style="27" customWidth="1"/>
    <col min="8727" max="8727" width="18.3984375" style="27" customWidth="1"/>
    <col min="8728" max="8728" width="17" style="27" bestFit="1" customWidth="1"/>
    <col min="8729" max="8729" width="11.796875" style="27" bestFit="1" customWidth="1"/>
    <col min="8730" max="8731" width="12.69921875" style="27" bestFit="1" customWidth="1"/>
    <col min="8732" max="8732" width="16.296875" style="27" bestFit="1" customWidth="1"/>
    <col min="8733" max="8733" width="13.796875" style="27" bestFit="1" customWidth="1"/>
    <col min="8734" max="8960" width="8.19921875" style="27"/>
    <col min="8961" max="8961" width="41.69921875" style="27" customWidth="1"/>
    <col min="8962" max="8962" width="24.59765625" style="27" customWidth="1"/>
    <col min="8963" max="8963" width="22.8984375" style="27" customWidth="1"/>
    <col min="8964" max="8964" width="23.3984375" style="27" customWidth="1"/>
    <col min="8965" max="8965" width="17.09765625" style="27" customWidth="1"/>
    <col min="8966" max="8966" width="20.59765625" style="27" customWidth="1"/>
    <col min="8967" max="8967" width="17.3984375" style="27" customWidth="1"/>
    <col min="8968" max="8968" width="17.59765625" style="27" customWidth="1"/>
    <col min="8969" max="8969" width="18.09765625" style="27" customWidth="1"/>
    <col min="8970" max="8970" width="17.09765625" style="27" customWidth="1"/>
    <col min="8971" max="8971" width="20.296875" style="27" customWidth="1"/>
    <col min="8972" max="8972" width="22.3984375" style="27" customWidth="1"/>
    <col min="8973" max="8973" width="35.5" style="27" customWidth="1"/>
    <col min="8974" max="8974" width="17.5" style="27" customWidth="1"/>
    <col min="8975" max="8975" width="15.796875" style="27" customWidth="1"/>
    <col min="8976" max="8976" width="15" style="27" customWidth="1"/>
    <col min="8977" max="8977" width="15.796875" style="27" customWidth="1"/>
    <col min="8978" max="8978" width="20.19921875" style="27" customWidth="1"/>
    <col min="8979" max="8979" width="18.796875" style="27" customWidth="1"/>
    <col min="8980" max="8980" width="17.69921875" style="27" customWidth="1"/>
    <col min="8981" max="8981" width="17.19921875" style="27" customWidth="1"/>
    <col min="8982" max="8982" width="17.09765625" style="27" customWidth="1"/>
    <col min="8983" max="8983" width="18.3984375" style="27" customWidth="1"/>
    <col min="8984" max="8984" width="17" style="27" bestFit="1" customWidth="1"/>
    <col min="8985" max="8985" width="11.796875" style="27" bestFit="1" customWidth="1"/>
    <col min="8986" max="8987" width="12.69921875" style="27" bestFit="1" customWidth="1"/>
    <col min="8988" max="8988" width="16.296875" style="27" bestFit="1" customWidth="1"/>
    <col min="8989" max="8989" width="13.796875" style="27" bestFit="1" customWidth="1"/>
    <col min="8990" max="9216" width="8.19921875" style="27"/>
    <col min="9217" max="9217" width="41.69921875" style="27" customWidth="1"/>
    <col min="9218" max="9218" width="24.59765625" style="27" customWidth="1"/>
    <col min="9219" max="9219" width="22.8984375" style="27" customWidth="1"/>
    <col min="9220" max="9220" width="23.3984375" style="27" customWidth="1"/>
    <col min="9221" max="9221" width="17.09765625" style="27" customWidth="1"/>
    <col min="9222" max="9222" width="20.59765625" style="27" customWidth="1"/>
    <col min="9223" max="9223" width="17.3984375" style="27" customWidth="1"/>
    <col min="9224" max="9224" width="17.59765625" style="27" customWidth="1"/>
    <col min="9225" max="9225" width="18.09765625" style="27" customWidth="1"/>
    <col min="9226" max="9226" width="17.09765625" style="27" customWidth="1"/>
    <col min="9227" max="9227" width="20.296875" style="27" customWidth="1"/>
    <col min="9228" max="9228" width="22.3984375" style="27" customWidth="1"/>
    <col min="9229" max="9229" width="35.5" style="27" customWidth="1"/>
    <col min="9230" max="9230" width="17.5" style="27" customWidth="1"/>
    <col min="9231" max="9231" width="15.796875" style="27" customWidth="1"/>
    <col min="9232" max="9232" width="15" style="27" customWidth="1"/>
    <col min="9233" max="9233" width="15.796875" style="27" customWidth="1"/>
    <col min="9234" max="9234" width="20.19921875" style="27" customWidth="1"/>
    <col min="9235" max="9235" width="18.796875" style="27" customWidth="1"/>
    <col min="9236" max="9236" width="17.69921875" style="27" customWidth="1"/>
    <col min="9237" max="9237" width="17.19921875" style="27" customWidth="1"/>
    <col min="9238" max="9238" width="17.09765625" style="27" customWidth="1"/>
    <col min="9239" max="9239" width="18.3984375" style="27" customWidth="1"/>
    <col min="9240" max="9240" width="17" style="27" bestFit="1" customWidth="1"/>
    <col min="9241" max="9241" width="11.796875" style="27" bestFit="1" customWidth="1"/>
    <col min="9242" max="9243" width="12.69921875" style="27" bestFit="1" customWidth="1"/>
    <col min="9244" max="9244" width="16.296875" style="27" bestFit="1" customWidth="1"/>
    <col min="9245" max="9245" width="13.796875" style="27" bestFit="1" customWidth="1"/>
    <col min="9246" max="9472" width="8.19921875" style="27"/>
    <col min="9473" max="9473" width="41.69921875" style="27" customWidth="1"/>
    <col min="9474" max="9474" width="24.59765625" style="27" customWidth="1"/>
    <col min="9475" max="9475" width="22.8984375" style="27" customWidth="1"/>
    <col min="9476" max="9476" width="23.3984375" style="27" customWidth="1"/>
    <col min="9477" max="9477" width="17.09765625" style="27" customWidth="1"/>
    <col min="9478" max="9478" width="20.59765625" style="27" customWidth="1"/>
    <col min="9479" max="9479" width="17.3984375" style="27" customWidth="1"/>
    <col min="9480" max="9480" width="17.59765625" style="27" customWidth="1"/>
    <col min="9481" max="9481" width="18.09765625" style="27" customWidth="1"/>
    <col min="9482" max="9482" width="17.09765625" style="27" customWidth="1"/>
    <col min="9483" max="9483" width="20.296875" style="27" customWidth="1"/>
    <col min="9484" max="9484" width="22.3984375" style="27" customWidth="1"/>
    <col min="9485" max="9485" width="35.5" style="27" customWidth="1"/>
    <col min="9486" max="9486" width="17.5" style="27" customWidth="1"/>
    <col min="9487" max="9487" width="15.796875" style="27" customWidth="1"/>
    <col min="9488" max="9488" width="15" style="27" customWidth="1"/>
    <col min="9489" max="9489" width="15.796875" style="27" customWidth="1"/>
    <col min="9490" max="9490" width="20.19921875" style="27" customWidth="1"/>
    <col min="9491" max="9491" width="18.796875" style="27" customWidth="1"/>
    <col min="9492" max="9492" width="17.69921875" style="27" customWidth="1"/>
    <col min="9493" max="9493" width="17.19921875" style="27" customWidth="1"/>
    <col min="9494" max="9494" width="17.09765625" style="27" customWidth="1"/>
    <col min="9495" max="9495" width="18.3984375" style="27" customWidth="1"/>
    <col min="9496" max="9496" width="17" style="27" bestFit="1" customWidth="1"/>
    <col min="9497" max="9497" width="11.796875" style="27" bestFit="1" customWidth="1"/>
    <col min="9498" max="9499" width="12.69921875" style="27" bestFit="1" customWidth="1"/>
    <col min="9500" max="9500" width="16.296875" style="27" bestFit="1" customWidth="1"/>
    <col min="9501" max="9501" width="13.796875" style="27" bestFit="1" customWidth="1"/>
    <col min="9502" max="9728" width="8.19921875" style="27"/>
    <col min="9729" max="9729" width="41.69921875" style="27" customWidth="1"/>
    <col min="9730" max="9730" width="24.59765625" style="27" customWidth="1"/>
    <col min="9731" max="9731" width="22.8984375" style="27" customWidth="1"/>
    <col min="9732" max="9732" width="23.3984375" style="27" customWidth="1"/>
    <col min="9733" max="9733" width="17.09765625" style="27" customWidth="1"/>
    <col min="9734" max="9734" width="20.59765625" style="27" customWidth="1"/>
    <col min="9735" max="9735" width="17.3984375" style="27" customWidth="1"/>
    <col min="9736" max="9736" width="17.59765625" style="27" customWidth="1"/>
    <col min="9737" max="9737" width="18.09765625" style="27" customWidth="1"/>
    <col min="9738" max="9738" width="17.09765625" style="27" customWidth="1"/>
    <col min="9739" max="9739" width="20.296875" style="27" customWidth="1"/>
    <col min="9740" max="9740" width="22.3984375" style="27" customWidth="1"/>
    <col min="9741" max="9741" width="35.5" style="27" customWidth="1"/>
    <col min="9742" max="9742" width="17.5" style="27" customWidth="1"/>
    <col min="9743" max="9743" width="15.796875" style="27" customWidth="1"/>
    <col min="9744" max="9744" width="15" style="27" customWidth="1"/>
    <col min="9745" max="9745" width="15.796875" style="27" customWidth="1"/>
    <col min="9746" max="9746" width="20.19921875" style="27" customWidth="1"/>
    <col min="9747" max="9747" width="18.796875" style="27" customWidth="1"/>
    <col min="9748" max="9748" width="17.69921875" style="27" customWidth="1"/>
    <col min="9749" max="9749" width="17.19921875" style="27" customWidth="1"/>
    <col min="9750" max="9750" width="17.09765625" style="27" customWidth="1"/>
    <col min="9751" max="9751" width="18.3984375" style="27" customWidth="1"/>
    <col min="9752" max="9752" width="17" style="27" bestFit="1" customWidth="1"/>
    <col min="9753" max="9753" width="11.796875" style="27" bestFit="1" customWidth="1"/>
    <col min="9754" max="9755" width="12.69921875" style="27" bestFit="1" customWidth="1"/>
    <col min="9756" max="9756" width="16.296875" style="27" bestFit="1" customWidth="1"/>
    <col min="9757" max="9757" width="13.796875" style="27" bestFit="1" customWidth="1"/>
    <col min="9758" max="9984" width="8.19921875" style="27"/>
    <col min="9985" max="9985" width="41.69921875" style="27" customWidth="1"/>
    <col min="9986" max="9986" width="24.59765625" style="27" customWidth="1"/>
    <col min="9987" max="9987" width="22.8984375" style="27" customWidth="1"/>
    <col min="9988" max="9988" width="23.3984375" style="27" customWidth="1"/>
    <col min="9989" max="9989" width="17.09765625" style="27" customWidth="1"/>
    <col min="9990" max="9990" width="20.59765625" style="27" customWidth="1"/>
    <col min="9991" max="9991" width="17.3984375" style="27" customWidth="1"/>
    <col min="9992" max="9992" width="17.59765625" style="27" customWidth="1"/>
    <col min="9993" max="9993" width="18.09765625" style="27" customWidth="1"/>
    <col min="9994" max="9994" width="17.09765625" style="27" customWidth="1"/>
    <col min="9995" max="9995" width="20.296875" style="27" customWidth="1"/>
    <col min="9996" max="9996" width="22.3984375" style="27" customWidth="1"/>
    <col min="9997" max="9997" width="35.5" style="27" customWidth="1"/>
    <col min="9998" max="9998" width="17.5" style="27" customWidth="1"/>
    <col min="9999" max="9999" width="15.796875" style="27" customWidth="1"/>
    <col min="10000" max="10000" width="15" style="27" customWidth="1"/>
    <col min="10001" max="10001" width="15.796875" style="27" customWidth="1"/>
    <col min="10002" max="10002" width="20.19921875" style="27" customWidth="1"/>
    <col min="10003" max="10003" width="18.796875" style="27" customWidth="1"/>
    <col min="10004" max="10004" width="17.69921875" style="27" customWidth="1"/>
    <col min="10005" max="10005" width="17.19921875" style="27" customWidth="1"/>
    <col min="10006" max="10006" width="17.09765625" style="27" customWidth="1"/>
    <col min="10007" max="10007" width="18.3984375" style="27" customWidth="1"/>
    <col min="10008" max="10008" width="17" style="27" bestFit="1" customWidth="1"/>
    <col min="10009" max="10009" width="11.796875" style="27" bestFit="1" customWidth="1"/>
    <col min="10010" max="10011" width="12.69921875" style="27" bestFit="1" customWidth="1"/>
    <col min="10012" max="10012" width="16.296875" style="27" bestFit="1" customWidth="1"/>
    <col min="10013" max="10013" width="13.796875" style="27" bestFit="1" customWidth="1"/>
    <col min="10014" max="10240" width="8.19921875" style="27"/>
    <col min="10241" max="10241" width="41.69921875" style="27" customWidth="1"/>
    <col min="10242" max="10242" width="24.59765625" style="27" customWidth="1"/>
    <col min="10243" max="10243" width="22.8984375" style="27" customWidth="1"/>
    <col min="10244" max="10244" width="23.3984375" style="27" customWidth="1"/>
    <col min="10245" max="10245" width="17.09765625" style="27" customWidth="1"/>
    <col min="10246" max="10246" width="20.59765625" style="27" customWidth="1"/>
    <col min="10247" max="10247" width="17.3984375" style="27" customWidth="1"/>
    <col min="10248" max="10248" width="17.59765625" style="27" customWidth="1"/>
    <col min="10249" max="10249" width="18.09765625" style="27" customWidth="1"/>
    <col min="10250" max="10250" width="17.09765625" style="27" customWidth="1"/>
    <col min="10251" max="10251" width="20.296875" style="27" customWidth="1"/>
    <col min="10252" max="10252" width="22.3984375" style="27" customWidth="1"/>
    <col min="10253" max="10253" width="35.5" style="27" customWidth="1"/>
    <col min="10254" max="10254" width="17.5" style="27" customWidth="1"/>
    <col min="10255" max="10255" width="15.796875" style="27" customWidth="1"/>
    <col min="10256" max="10256" width="15" style="27" customWidth="1"/>
    <col min="10257" max="10257" width="15.796875" style="27" customWidth="1"/>
    <col min="10258" max="10258" width="20.19921875" style="27" customWidth="1"/>
    <col min="10259" max="10259" width="18.796875" style="27" customWidth="1"/>
    <col min="10260" max="10260" width="17.69921875" style="27" customWidth="1"/>
    <col min="10261" max="10261" width="17.19921875" style="27" customWidth="1"/>
    <col min="10262" max="10262" width="17.09765625" style="27" customWidth="1"/>
    <col min="10263" max="10263" width="18.3984375" style="27" customWidth="1"/>
    <col min="10264" max="10264" width="17" style="27" bestFit="1" customWidth="1"/>
    <col min="10265" max="10265" width="11.796875" style="27" bestFit="1" customWidth="1"/>
    <col min="10266" max="10267" width="12.69921875" style="27" bestFit="1" customWidth="1"/>
    <col min="10268" max="10268" width="16.296875" style="27" bestFit="1" customWidth="1"/>
    <col min="10269" max="10269" width="13.796875" style="27" bestFit="1" customWidth="1"/>
    <col min="10270" max="10496" width="8.19921875" style="27"/>
    <col min="10497" max="10497" width="41.69921875" style="27" customWidth="1"/>
    <col min="10498" max="10498" width="24.59765625" style="27" customWidth="1"/>
    <col min="10499" max="10499" width="22.8984375" style="27" customWidth="1"/>
    <col min="10500" max="10500" width="23.3984375" style="27" customWidth="1"/>
    <col min="10501" max="10501" width="17.09765625" style="27" customWidth="1"/>
    <col min="10502" max="10502" width="20.59765625" style="27" customWidth="1"/>
    <col min="10503" max="10503" width="17.3984375" style="27" customWidth="1"/>
    <col min="10504" max="10504" width="17.59765625" style="27" customWidth="1"/>
    <col min="10505" max="10505" width="18.09765625" style="27" customWidth="1"/>
    <col min="10506" max="10506" width="17.09765625" style="27" customWidth="1"/>
    <col min="10507" max="10507" width="20.296875" style="27" customWidth="1"/>
    <col min="10508" max="10508" width="22.3984375" style="27" customWidth="1"/>
    <col min="10509" max="10509" width="35.5" style="27" customWidth="1"/>
    <col min="10510" max="10510" width="17.5" style="27" customWidth="1"/>
    <col min="10511" max="10511" width="15.796875" style="27" customWidth="1"/>
    <col min="10512" max="10512" width="15" style="27" customWidth="1"/>
    <col min="10513" max="10513" width="15.796875" style="27" customWidth="1"/>
    <col min="10514" max="10514" width="20.19921875" style="27" customWidth="1"/>
    <col min="10515" max="10515" width="18.796875" style="27" customWidth="1"/>
    <col min="10516" max="10516" width="17.69921875" style="27" customWidth="1"/>
    <col min="10517" max="10517" width="17.19921875" style="27" customWidth="1"/>
    <col min="10518" max="10518" width="17.09765625" style="27" customWidth="1"/>
    <col min="10519" max="10519" width="18.3984375" style="27" customWidth="1"/>
    <col min="10520" max="10520" width="17" style="27" bestFit="1" customWidth="1"/>
    <col min="10521" max="10521" width="11.796875" style="27" bestFit="1" customWidth="1"/>
    <col min="10522" max="10523" width="12.69921875" style="27" bestFit="1" customWidth="1"/>
    <col min="10524" max="10524" width="16.296875" style="27" bestFit="1" customWidth="1"/>
    <col min="10525" max="10525" width="13.796875" style="27" bestFit="1" customWidth="1"/>
    <col min="10526" max="10752" width="8.19921875" style="27"/>
    <col min="10753" max="10753" width="41.69921875" style="27" customWidth="1"/>
    <col min="10754" max="10754" width="24.59765625" style="27" customWidth="1"/>
    <col min="10755" max="10755" width="22.8984375" style="27" customWidth="1"/>
    <col min="10756" max="10756" width="23.3984375" style="27" customWidth="1"/>
    <col min="10757" max="10757" width="17.09765625" style="27" customWidth="1"/>
    <col min="10758" max="10758" width="20.59765625" style="27" customWidth="1"/>
    <col min="10759" max="10759" width="17.3984375" style="27" customWidth="1"/>
    <col min="10760" max="10760" width="17.59765625" style="27" customWidth="1"/>
    <col min="10761" max="10761" width="18.09765625" style="27" customWidth="1"/>
    <col min="10762" max="10762" width="17.09765625" style="27" customWidth="1"/>
    <col min="10763" max="10763" width="20.296875" style="27" customWidth="1"/>
    <col min="10764" max="10764" width="22.3984375" style="27" customWidth="1"/>
    <col min="10765" max="10765" width="35.5" style="27" customWidth="1"/>
    <col min="10766" max="10766" width="17.5" style="27" customWidth="1"/>
    <col min="10767" max="10767" width="15.796875" style="27" customWidth="1"/>
    <col min="10768" max="10768" width="15" style="27" customWidth="1"/>
    <col min="10769" max="10769" width="15.796875" style="27" customWidth="1"/>
    <col min="10770" max="10770" width="20.19921875" style="27" customWidth="1"/>
    <col min="10771" max="10771" width="18.796875" style="27" customWidth="1"/>
    <col min="10772" max="10772" width="17.69921875" style="27" customWidth="1"/>
    <col min="10773" max="10773" width="17.19921875" style="27" customWidth="1"/>
    <col min="10774" max="10774" width="17.09765625" style="27" customWidth="1"/>
    <col min="10775" max="10775" width="18.3984375" style="27" customWidth="1"/>
    <col min="10776" max="10776" width="17" style="27" bestFit="1" customWidth="1"/>
    <col min="10777" max="10777" width="11.796875" style="27" bestFit="1" customWidth="1"/>
    <col min="10778" max="10779" width="12.69921875" style="27" bestFit="1" customWidth="1"/>
    <col min="10780" max="10780" width="16.296875" style="27" bestFit="1" customWidth="1"/>
    <col min="10781" max="10781" width="13.796875" style="27" bestFit="1" customWidth="1"/>
    <col min="10782" max="11008" width="8.19921875" style="27"/>
    <col min="11009" max="11009" width="41.69921875" style="27" customWidth="1"/>
    <col min="11010" max="11010" width="24.59765625" style="27" customWidth="1"/>
    <col min="11011" max="11011" width="22.8984375" style="27" customWidth="1"/>
    <col min="11012" max="11012" width="23.3984375" style="27" customWidth="1"/>
    <col min="11013" max="11013" width="17.09765625" style="27" customWidth="1"/>
    <col min="11014" max="11014" width="20.59765625" style="27" customWidth="1"/>
    <col min="11015" max="11015" width="17.3984375" style="27" customWidth="1"/>
    <col min="11016" max="11016" width="17.59765625" style="27" customWidth="1"/>
    <col min="11017" max="11017" width="18.09765625" style="27" customWidth="1"/>
    <col min="11018" max="11018" width="17.09765625" style="27" customWidth="1"/>
    <col min="11019" max="11019" width="20.296875" style="27" customWidth="1"/>
    <col min="11020" max="11020" width="22.3984375" style="27" customWidth="1"/>
    <col min="11021" max="11021" width="35.5" style="27" customWidth="1"/>
    <col min="11022" max="11022" width="17.5" style="27" customWidth="1"/>
    <col min="11023" max="11023" width="15.796875" style="27" customWidth="1"/>
    <col min="11024" max="11024" width="15" style="27" customWidth="1"/>
    <col min="11025" max="11025" width="15.796875" style="27" customWidth="1"/>
    <col min="11026" max="11026" width="20.19921875" style="27" customWidth="1"/>
    <col min="11027" max="11027" width="18.796875" style="27" customWidth="1"/>
    <col min="11028" max="11028" width="17.69921875" style="27" customWidth="1"/>
    <col min="11029" max="11029" width="17.19921875" style="27" customWidth="1"/>
    <col min="11030" max="11030" width="17.09765625" style="27" customWidth="1"/>
    <col min="11031" max="11031" width="18.3984375" style="27" customWidth="1"/>
    <col min="11032" max="11032" width="17" style="27" bestFit="1" customWidth="1"/>
    <col min="11033" max="11033" width="11.796875" style="27" bestFit="1" customWidth="1"/>
    <col min="11034" max="11035" width="12.69921875" style="27" bestFit="1" customWidth="1"/>
    <col min="11036" max="11036" width="16.296875" style="27" bestFit="1" customWidth="1"/>
    <col min="11037" max="11037" width="13.796875" style="27" bestFit="1" customWidth="1"/>
    <col min="11038" max="11264" width="8.19921875" style="27"/>
    <col min="11265" max="11265" width="41.69921875" style="27" customWidth="1"/>
    <col min="11266" max="11266" width="24.59765625" style="27" customWidth="1"/>
    <col min="11267" max="11267" width="22.8984375" style="27" customWidth="1"/>
    <col min="11268" max="11268" width="23.3984375" style="27" customWidth="1"/>
    <col min="11269" max="11269" width="17.09765625" style="27" customWidth="1"/>
    <col min="11270" max="11270" width="20.59765625" style="27" customWidth="1"/>
    <col min="11271" max="11271" width="17.3984375" style="27" customWidth="1"/>
    <col min="11272" max="11272" width="17.59765625" style="27" customWidth="1"/>
    <col min="11273" max="11273" width="18.09765625" style="27" customWidth="1"/>
    <col min="11274" max="11274" width="17.09765625" style="27" customWidth="1"/>
    <col min="11275" max="11275" width="20.296875" style="27" customWidth="1"/>
    <col min="11276" max="11276" width="22.3984375" style="27" customWidth="1"/>
    <col min="11277" max="11277" width="35.5" style="27" customWidth="1"/>
    <col min="11278" max="11278" width="17.5" style="27" customWidth="1"/>
    <col min="11279" max="11279" width="15.796875" style="27" customWidth="1"/>
    <col min="11280" max="11280" width="15" style="27" customWidth="1"/>
    <col min="11281" max="11281" width="15.796875" style="27" customWidth="1"/>
    <col min="11282" max="11282" width="20.19921875" style="27" customWidth="1"/>
    <col min="11283" max="11283" width="18.796875" style="27" customWidth="1"/>
    <col min="11284" max="11284" width="17.69921875" style="27" customWidth="1"/>
    <col min="11285" max="11285" width="17.19921875" style="27" customWidth="1"/>
    <col min="11286" max="11286" width="17.09765625" style="27" customWidth="1"/>
    <col min="11287" max="11287" width="18.3984375" style="27" customWidth="1"/>
    <col min="11288" max="11288" width="17" style="27" bestFit="1" customWidth="1"/>
    <col min="11289" max="11289" width="11.796875" style="27" bestFit="1" customWidth="1"/>
    <col min="11290" max="11291" width="12.69921875" style="27" bestFit="1" customWidth="1"/>
    <col min="11292" max="11292" width="16.296875" style="27" bestFit="1" customWidth="1"/>
    <col min="11293" max="11293" width="13.796875" style="27" bestFit="1" customWidth="1"/>
    <col min="11294" max="11520" width="8.19921875" style="27"/>
    <col min="11521" max="11521" width="41.69921875" style="27" customWidth="1"/>
    <col min="11522" max="11522" width="24.59765625" style="27" customWidth="1"/>
    <col min="11523" max="11523" width="22.8984375" style="27" customWidth="1"/>
    <col min="11524" max="11524" width="23.3984375" style="27" customWidth="1"/>
    <col min="11525" max="11525" width="17.09765625" style="27" customWidth="1"/>
    <col min="11526" max="11526" width="20.59765625" style="27" customWidth="1"/>
    <col min="11527" max="11527" width="17.3984375" style="27" customWidth="1"/>
    <col min="11528" max="11528" width="17.59765625" style="27" customWidth="1"/>
    <col min="11529" max="11529" width="18.09765625" style="27" customWidth="1"/>
    <col min="11530" max="11530" width="17.09765625" style="27" customWidth="1"/>
    <col min="11531" max="11531" width="20.296875" style="27" customWidth="1"/>
    <col min="11532" max="11532" width="22.3984375" style="27" customWidth="1"/>
    <col min="11533" max="11533" width="35.5" style="27" customWidth="1"/>
    <col min="11534" max="11534" width="17.5" style="27" customWidth="1"/>
    <col min="11535" max="11535" width="15.796875" style="27" customWidth="1"/>
    <col min="11536" max="11536" width="15" style="27" customWidth="1"/>
    <col min="11537" max="11537" width="15.796875" style="27" customWidth="1"/>
    <col min="11538" max="11538" width="20.19921875" style="27" customWidth="1"/>
    <col min="11539" max="11539" width="18.796875" style="27" customWidth="1"/>
    <col min="11540" max="11540" width="17.69921875" style="27" customWidth="1"/>
    <col min="11541" max="11541" width="17.19921875" style="27" customWidth="1"/>
    <col min="11542" max="11542" width="17.09765625" style="27" customWidth="1"/>
    <col min="11543" max="11543" width="18.3984375" style="27" customWidth="1"/>
    <col min="11544" max="11544" width="17" style="27" bestFit="1" customWidth="1"/>
    <col min="11545" max="11545" width="11.796875" style="27" bestFit="1" customWidth="1"/>
    <col min="11546" max="11547" width="12.69921875" style="27" bestFit="1" customWidth="1"/>
    <col min="11548" max="11548" width="16.296875" style="27" bestFit="1" customWidth="1"/>
    <col min="11549" max="11549" width="13.796875" style="27" bestFit="1" customWidth="1"/>
    <col min="11550" max="11776" width="8.19921875" style="27"/>
    <col min="11777" max="11777" width="41.69921875" style="27" customWidth="1"/>
    <col min="11778" max="11778" width="24.59765625" style="27" customWidth="1"/>
    <col min="11779" max="11779" width="22.8984375" style="27" customWidth="1"/>
    <col min="11780" max="11780" width="23.3984375" style="27" customWidth="1"/>
    <col min="11781" max="11781" width="17.09765625" style="27" customWidth="1"/>
    <col min="11782" max="11782" width="20.59765625" style="27" customWidth="1"/>
    <col min="11783" max="11783" width="17.3984375" style="27" customWidth="1"/>
    <col min="11784" max="11784" width="17.59765625" style="27" customWidth="1"/>
    <col min="11785" max="11785" width="18.09765625" style="27" customWidth="1"/>
    <col min="11786" max="11786" width="17.09765625" style="27" customWidth="1"/>
    <col min="11787" max="11787" width="20.296875" style="27" customWidth="1"/>
    <col min="11788" max="11788" width="22.3984375" style="27" customWidth="1"/>
    <col min="11789" max="11789" width="35.5" style="27" customWidth="1"/>
    <col min="11790" max="11790" width="17.5" style="27" customWidth="1"/>
    <col min="11791" max="11791" width="15.796875" style="27" customWidth="1"/>
    <col min="11792" max="11792" width="15" style="27" customWidth="1"/>
    <col min="11793" max="11793" width="15.796875" style="27" customWidth="1"/>
    <col min="11794" max="11794" width="20.19921875" style="27" customWidth="1"/>
    <col min="11795" max="11795" width="18.796875" style="27" customWidth="1"/>
    <col min="11796" max="11796" width="17.69921875" style="27" customWidth="1"/>
    <col min="11797" max="11797" width="17.19921875" style="27" customWidth="1"/>
    <col min="11798" max="11798" width="17.09765625" style="27" customWidth="1"/>
    <col min="11799" max="11799" width="18.3984375" style="27" customWidth="1"/>
    <col min="11800" max="11800" width="17" style="27" bestFit="1" customWidth="1"/>
    <col min="11801" max="11801" width="11.796875" style="27" bestFit="1" customWidth="1"/>
    <col min="11802" max="11803" width="12.69921875" style="27" bestFit="1" customWidth="1"/>
    <col min="11804" max="11804" width="16.296875" style="27" bestFit="1" customWidth="1"/>
    <col min="11805" max="11805" width="13.796875" style="27" bestFit="1" customWidth="1"/>
    <col min="11806" max="12032" width="8.19921875" style="27"/>
    <col min="12033" max="12033" width="41.69921875" style="27" customWidth="1"/>
    <col min="12034" max="12034" width="24.59765625" style="27" customWidth="1"/>
    <col min="12035" max="12035" width="22.8984375" style="27" customWidth="1"/>
    <col min="12036" max="12036" width="23.3984375" style="27" customWidth="1"/>
    <col min="12037" max="12037" width="17.09765625" style="27" customWidth="1"/>
    <col min="12038" max="12038" width="20.59765625" style="27" customWidth="1"/>
    <col min="12039" max="12039" width="17.3984375" style="27" customWidth="1"/>
    <col min="12040" max="12040" width="17.59765625" style="27" customWidth="1"/>
    <col min="12041" max="12041" width="18.09765625" style="27" customWidth="1"/>
    <col min="12042" max="12042" width="17.09765625" style="27" customWidth="1"/>
    <col min="12043" max="12043" width="20.296875" style="27" customWidth="1"/>
    <col min="12044" max="12044" width="22.3984375" style="27" customWidth="1"/>
    <col min="12045" max="12045" width="35.5" style="27" customWidth="1"/>
    <col min="12046" max="12046" width="17.5" style="27" customWidth="1"/>
    <col min="12047" max="12047" width="15.796875" style="27" customWidth="1"/>
    <col min="12048" max="12048" width="15" style="27" customWidth="1"/>
    <col min="12049" max="12049" width="15.796875" style="27" customWidth="1"/>
    <col min="12050" max="12050" width="20.19921875" style="27" customWidth="1"/>
    <col min="12051" max="12051" width="18.796875" style="27" customWidth="1"/>
    <col min="12052" max="12052" width="17.69921875" style="27" customWidth="1"/>
    <col min="12053" max="12053" width="17.19921875" style="27" customWidth="1"/>
    <col min="12054" max="12054" width="17.09765625" style="27" customWidth="1"/>
    <col min="12055" max="12055" width="18.3984375" style="27" customWidth="1"/>
    <col min="12056" max="12056" width="17" style="27" bestFit="1" customWidth="1"/>
    <col min="12057" max="12057" width="11.796875" style="27" bestFit="1" customWidth="1"/>
    <col min="12058" max="12059" width="12.69921875" style="27" bestFit="1" customWidth="1"/>
    <col min="12060" max="12060" width="16.296875" style="27" bestFit="1" customWidth="1"/>
    <col min="12061" max="12061" width="13.796875" style="27" bestFit="1" customWidth="1"/>
    <col min="12062" max="12288" width="8.19921875" style="27"/>
    <col min="12289" max="12289" width="41.69921875" style="27" customWidth="1"/>
    <col min="12290" max="12290" width="24.59765625" style="27" customWidth="1"/>
    <col min="12291" max="12291" width="22.8984375" style="27" customWidth="1"/>
    <col min="12292" max="12292" width="23.3984375" style="27" customWidth="1"/>
    <col min="12293" max="12293" width="17.09765625" style="27" customWidth="1"/>
    <col min="12294" max="12294" width="20.59765625" style="27" customWidth="1"/>
    <col min="12295" max="12295" width="17.3984375" style="27" customWidth="1"/>
    <col min="12296" max="12296" width="17.59765625" style="27" customWidth="1"/>
    <col min="12297" max="12297" width="18.09765625" style="27" customWidth="1"/>
    <col min="12298" max="12298" width="17.09765625" style="27" customWidth="1"/>
    <col min="12299" max="12299" width="20.296875" style="27" customWidth="1"/>
    <col min="12300" max="12300" width="22.3984375" style="27" customWidth="1"/>
    <col min="12301" max="12301" width="35.5" style="27" customWidth="1"/>
    <col min="12302" max="12302" width="17.5" style="27" customWidth="1"/>
    <col min="12303" max="12303" width="15.796875" style="27" customWidth="1"/>
    <col min="12304" max="12304" width="15" style="27" customWidth="1"/>
    <col min="12305" max="12305" width="15.796875" style="27" customWidth="1"/>
    <col min="12306" max="12306" width="20.19921875" style="27" customWidth="1"/>
    <col min="12307" max="12307" width="18.796875" style="27" customWidth="1"/>
    <col min="12308" max="12308" width="17.69921875" style="27" customWidth="1"/>
    <col min="12309" max="12309" width="17.19921875" style="27" customWidth="1"/>
    <col min="12310" max="12310" width="17.09765625" style="27" customWidth="1"/>
    <col min="12311" max="12311" width="18.3984375" style="27" customWidth="1"/>
    <col min="12312" max="12312" width="17" style="27" bestFit="1" customWidth="1"/>
    <col min="12313" max="12313" width="11.796875" style="27" bestFit="1" customWidth="1"/>
    <col min="12314" max="12315" width="12.69921875" style="27" bestFit="1" customWidth="1"/>
    <col min="12316" max="12316" width="16.296875" style="27" bestFit="1" customWidth="1"/>
    <col min="12317" max="12317" width="13.796875" style="27" bestFit="1" customWidth="1"/>
    <col min="12318" max="12544" width="8.19921875" style="27"/>
    <col min="12545" max="12545" width="41.69921875" style="27" customWidth="1"/>
    <col min="12546" max="12546" width="24.59765625" style="27" customWidth="1"/>
    <col min="12547" max="12547" width="22.8984375" style="27" customWidth="1"/>
    <col min="12548" max="12548" width="23.3984375" style="27" customWidth="1"/>
    <col min="12549" max="12549" width="17.09765625" style="27" customWidth="1"/>
    <col min="12550" max="12550" width="20.59765625" style="27" customWidth="1"/>
    <col min="12551" max="12551" width="17.3984375" style="27" customWidth="1"/>
    <col min="12552" max="12552" width="17.59765625" style="27" customWidth="1"/>
    <col min="12553" max="12553" width="18.09765625" style="27" customWidth="1"/>
    <col min="12554" max="12554" width="17.09765625" style="27" customWidth="1"/>
    <col min="12555" max="12555" width="20.296875" style="27" customWidth="1"/>
    <col min="12556" max="12556" width="22.3984375" style="27" customWidth="1"/>
    <col min="12557" max="12557" width="35.5" style="27" customWidth="1"/>
    <col min="12558" max="12558" width="17.5" style="27" customWidth="1"/>
    <col min="12559" max="12559" width="15.796875" style="27" customWidth="1"/>
    <col min="12560" max="12560" width="15" style="27" customWidth="1"/>
    <col min="12561" max="12561" width="15.796875" style="27" customWidth="1"/>
    <col min="12562" max="12562" width="20.19921875" style="27" customWidth="1"/>
    <col min="12563" max="12563" width="18.796875" style="27" customWidth="1"/>
    <col min="12564" max="12564" width="17.69921875" style="27" customWidth="1"/>
    <col min="12565" max="12565" width="17.19921875" style="27" customWidth="1"/>
    <col min="12566" max="12566" width="17.09765625" style="27" customWidth="1"/>
    <col min="12567" max="12567" width="18.3984375" style="27" customWidth="1"/>
    <col min="12568" max="12568" width="17" style="27" bestFit="1" customWidth="1"/>
    <col min="12569" max="12569" width="11.796875" style="27" bestFit="1" customWidth="1"/>
    <col min="12570" max="12571" width="12.69921875" style="27" bestFit="1" customWidth="1"/>
    <col min="12572" max="12572" width="16.296875" style="27" bestFit="1" customWidth="1"/>
    <col min="12573" max="12573" width="13.796875" style="27" bestFit="1" customWidth="1"/>
    <col min="12574" max="12800" width="8.19921875" style="27"/>
    <col min="12801" max="12801" width="41.69921875" style="27" customWidth="1"/>
    <col min="12802" max="12802" width="24.59765625" style="27" customWidth="1"/>
    <col min="12803" max="12803" width="22.8984375" style="27" customWidth="1"/>
    <col min="12804" max="12804" width="23.3984375" style="27" customWidth="1"/>
    <col min="12805" max="12805" width="17.09765625" style="27" customWidth="1"/>
    <col min="12806" max="12806" width="20.59765625" style="27" customWidth="1"/>
    <col min="12807" max="12807" width="17.3984375" style="27" customWidth="1"/>
    <col min="12808" max="12808" width="17.59765625" style="27" customWidth="1"/>
    <col min="12809" max="12809" width="18.09765625" style="27" customWidth="1"/>
    <col min="12810" max="12810" width="17.09765625" style="27" customWidth="1"/>
    <col min="12811" max="12811" width="20.296875" style="27" customWidth="1"/>
    <col min="12812" max="12812" width="22.3984375" style="27" customWidth="1"/>
    <col min="12813" max="12813" width="35.5" style="27" customWidth="1"/>
    <col min="12814" max="12814" width="17.5" style="27" customWidth="1"/>
    <col min="12815" max="12815" width="15.796875" style="27" customWidth="1"/>
    <col min="12816" max="12816" width="15" style="27" customWidth="1"/>
    <col min="12817" max="12817" width="15.796875" style="27" customWidth="1"/>
    <col min="12818" max="12818" width="20.19921875" style="27" customWidth="1"/>
    <col min="12819" max="12819" width="18.796875" style="27" customWidth="1"/>
    <col min="12820" max="12820" width="17.69921875" style="27" customWidth="1"/>
    <col min="12821" max="12821" width="17.19921875" style="27" customWidth="1"/>
    <col min="12822" max="12822" width="17.09765625" style="27" customWidth="1"/>
    <col min="12823" max="12823" width="18.3984375" style="27" customWidth="1"/>
    <col min="12824" max="12824" width="17" style="27" bestFit="1" customWidth="1"/>
    <col min="12825" max="12825" width="11.796875" style="27" bestFit="1" customWidth="1"/>
    <col min="12826" max="12827" width="12.69921875" style="27" bestFit="1" customWidth="1"/>
    <col min="12828" max="12828" width="16.296875" style="27" bestFit="1" customWidth="1"/>
    <col min="12829" max="12829" width="13.796875" style="27" bestFit="1" customWidth="1"/>
    <col min="12830" max="13056" width="8.19921875" style="27"/>
    <col min="13057" max="13057" width="41.69921875" style="27" customWidth="1"/>
    <col min="13058" max="13058" width="24.59765625" style="27" customWidth="1"/>
    <col min="13059" max="13059" width="22.8984375" style="27" customWidth="1"/>
    <col min="13060" max="13060" width="23.3984375" style="27" customWidth="1"/>
    <col min="13061" max="13061" width="17.09765625" style="27" customWidth="1"/>
    <col min="13062" max="13062" width="20.59765625" style="27" customWidth="1"/>
    <col min="13063" max="13063" width="17.3984375" style="27" customWidth="1"/>
    <col min="13064" max="13064" width="17.59765625" style="27" customWidth="1"/>
    <col min="13065" max="13065" width="18.09765625" style="27" customWidth="1"/>
    <col min="13066" max="13066" width="17.09765625" style="27" customWidth="1"/>
    <col min="13067" max="13067" width="20.296875" style="27" customWidth="1"/>
    <col min="13068" max="13068" width="22.3984375" style="27" customWidth="1"/>
    <col min="13069" max="13069" width="35.5" style="27" customWidth="1"/>
    <col min="13070" max="13070" width="17.5" style="27" customWidth="1"/>
    <col min="13071" max="13071" width="15.796875" style="27" customWidth="1"/>
    <col min="13072" max="13072" width="15" style="27" customWidth="1"/>
    <col min="13073" max="13073" width="15.796875" style="27" customWidth="1"/>
    <col min="13074" max="13074" width="20.19921875" style="27" customWidth="1"/>
    <col min="13075" max="13075" width="18.796875" style="27" customWidth="1"/>
    <col min="13076" max="13076" width="17.69921875" style="27" customWidth="1"/>
    <col min="13077" max="13077" width="17.19921875" style="27" customWidth="1"/>
    <col min="13078" max="13078" width="17.09765625" style="27" customWidth="1"/>
    <col min="13079" max="13079" width="18.3984375" style="27" customWidth="1"/>
    <col min="13080" max="13080" width="17" style="27" bestFit="1" customWidth="1"/>
    <col min="13081" max="13081" width="11.796875" style="27" bestFit="1" customWidth="1"/>
    <col min="13082" max="13083" width="12.69921875" style="27" bestFit="1" customWidth="1"/>
    <col min="13084" max="13084" width="16.296875" style="27" bestFit="1" customWidth="1"/>
    <col min="13085" max="13085" width="13.796875" style="27" bestFit="1" customWidth="1"/>
    <col min="13086" max="13312" width="8.19921875" style="27"/>
    <col min="13313" max="13313" width="41.69921875" style="27" customWidth="1"/>
    <col min="13314" max="13314" width="24.59765625" style="27" customWidth="1"/>
    <col min="13315" max="13315" width="22.8984375" style="27" customWidth="1"/>
    <col min="13316" max="13316" width="23.3984375" style="27" customWidth="1"/>
    <col min="13317" max="13317" width="17.09765625" style="27" customWidth="1"/>
    <col min="13318" max="13318" width="20.59765625" style="27" customWidth="1"/>
    <col min="13319" max="13319" width="17.3984375" style="27" customWidth="1"/>
    <col min="13320" max="13320" width="17.59765625" style="27" customWidth="1"/>
    <col min="13321" max="13321" width="18.09765625" style="27" customWidth="1"/>
    <col min="13322" max="13322" width="17.09765625" style="27" customWidth="1"/>
    <col min="13323" max="13323" width="20.296875" style="27" customWidth="1"/>
    <col min="13324" max="13324" width="22.3984375" style="27" customWidth="1"/>
    <col min="13325" max="13325" width="35.5" style="27" customWidth="1"/>
    <col min="13326" max="13326" width="17.5" style="27" customWidth="1"/>
    <col min="13327" max="13327" width="15.796875" style="27" customWidth="1"/>
    <col min="13328" max="13328" width="15" style="27" customWidth="1"/>
    <col min="13329" max="13329" width="15.796875" style="27" customWidth="1"/>
    <col min="13330" max="13330" width="20.19921875" style="27" customWidth="1"/>
    <col min="13331" max="13331" width="18.796875" style="27" customWidth="1"/>
    <col min="13332" max="13332" width="17.69921875" style="27" customWidth="1"/>
    <col min="13333" max="13333" width="17.19921875" style="27" customWidth="1"/>
    <col min="13334" max="13334" width="17.09765625" style="27" customWidth="1"/>
    <col min="13335" max="13335" width="18.3984375" style="27" customWidth="1"/>
    <col min="13336" max="13336" width="17" style="27" bestFit="1" customWidth="1"/>
    <col min="13337" max="13337" width="11.796875" style="27" bestFit="1" customWidth="1"/>
    <col min="13338" max="13339" width="12.69921875" style="27" bestFit="1" customWidth="1"/>
    <col min="13340" max="13340" width="16.296875" style="27" bestFit="1" customWidth="1"/>
    <col min="13341" max="13341" width="13.796875" style="27" bestFit="1" customWidth="1"/>
    <col min="13342" max="13568" width="8.19921875" style="27"/>
    <col min="13569" max="13569" width="41.69921875" style="27" customWidth="1"/>
    <col min="13570" max="13570" width="24.59765625" style="27" customWidth="1"/>
    <col min="13571" max="13571" width="22.8984375" style="27" customWidth="1"/>
    <col min="13572" max="13572" width="23.3984375" style="27" customWidth="1"/>
    <col min="13573" max="13573" width="17.09765625" style="27" customWidth="1"/>
    <col min="13574" max="13574" width="20.59765625" style="27" customWidth="1"/>
    <col min="13575" max="13575" width="17.3984375" style="27" customWidth="1"/>
    <col min="13576" max="13576" width="17.59765625" style="27" customWidth="1"/>
    <col min="13577" max="13577" width="18.09765625" style="27" customWidth="1"/>
    <col min="13578" max="13578" width="17.09765625" style="27" customWidth="1"/>
    <col min="13579" max="13579" width="20.296875" style="27" customWidth="1"/>
    <col min="13580" max="13580" width="22.3984375" style="27" customWidth="1"/>
    <col min="13581" max="13581" width="35.5" style="27" customWidth="1"/>
    <col min="13582" max="13582" width="17.5" style="27" customWidth="1"/>
    <col min="13583" max="13583" width="15.796875" style="27" customWidth="1"/>
    <col min="13584" max="13584" width="15" style="27" customWidth="1"/>
    <col min="13585" max="13585" width="15.796875" style="27" customWidth="1"/>
    <col min="13586" max="13586" width="20.19921875" style="27" customWidth="1"/>
    <col min="13587" max="13587" width="18.796875" style="27" customWidth="1"/>
    <col min="13588" max="13588" width="17.69921875" style="27" customWidth="1"/>
    <col min="13589" max="13589" width="17.19921875" style="27" customWidth="1"/>
    <col min="13590" max="13590" width="17.09765625" style="27" customWidth="1"/>
    <col min="13591" max="13591" width="18.3984375" style="27" customWidth="1"/>
    <col min="13592" max="13592" width="17" style="27" bestFit="1" customWidth="1"/>
    <col min="13593" max="13593" width="11.796875" style="27" bestFit="1" customWidth="1"/>
    <col min="13594" max="13595" width="12.69921875" style="27" bestFit="1" customWidth="1"/>
    <col min="13596" max="13596" width="16.296875" style="27" bestFit="1" customWidth="1"/>
    <col min="13597" max="13597" width="13.796875" style="27" bestFit="1" customWidth="1"/>
    <col min="13598" max="13824" width="8.19921875" style="27"/>
    <col min="13825" max="13825" width="41.69921875" style="27" customWidth="1"/>
    <col min="13826" max="13826" width="24.59765625" style="27" customWidth="1"/>
    <col min="13827" max="13827" width="22.8984375" style="27" customWidth="1"/>
    <col min="13828" max="13828" width="23.3984375" style="27" customWidth="1"/>
    <col min="13829" max="13829" width="17.09765625" style="27" customWidth="1"/>
    <col min="13830" max="13830" width="20.59765625" style="27" customWidth="1"/>
    <col min="13831" max="13831" width="17.3984375" style="27" customWidth="1"/>
    <col min="13832" max="13832" width="17.59765625" style="27" customWidth="1"/>
    <col min="13833" max="13833" width="18.09765625" style="27" customWidth="1"/>
    <col min="13834" max="13834" width="17.09765625" style="27" customWidth="1"/>
    <col min="13835" max="13835" width="20.296875" style="27" customWidth="1"/>
    <col min="13836" max="13836" width="22.3984375" style="27" customWidth="1"/>
    <col min="13837" max="13837" width="35.5" style="27" customWidth="1"/>
    <col min="13838" max="13838" width="17.5" style="27" customWidth="1"/>
    <col min="13839" max="13839" width="15.796875" style="27" customWidth="1"/>
    <col min="13840" max="13840" width="15" style="27" customWidth="1"/>
    <col min="13841" max="13841" width="15.796875" style="27" customWidth="1"/>
    <col min="13842" max="13842" width="20.19921875" style="27" customWidth="1"/>
    <col min="13843" max="13843" width="18.796875" style="27" customWidth="1"/>
    <col min="13844" max="13844" width="17.69921875" style="27" customWidth="1"/>
    <col min="13845" max="13845" width="17.19921875" style="27" customWidth="1"/>
    <col min="13846" max="13846" width="17.09765625" style="27" customWidth="1"/>
    <col min="13847" max="13847" width="18.3984375" style="27" customWidth="1"/>
    <col min="13848" max="13848" width="17" style="27" bestFit="1" customWidth="1"/>
    <col min="13849" max="13849" width="11.796875" style="27" bestFit="1" customWidth="1"/>
    <col min="13850" max="13851" width="12.69921875" style="27" bestFit="1" customWidth="1"/>
    <col min="13852" max="13852" width="16.296875" style="27" bestFit="1" customWidth="1"/>
    <col min="13853" max="13853" width="13.796875" style="27" bestFit="1" customWidth="1"/>
    <col min="13854" max="14080" width="8.19921875" style="27"/>
    <col min="14081" max="14081" width="41.69921875" style="27" customWidth="1"/>
    <col min="14082" max="14082" width="24.59765625" style="27" customWidth="1"/>
    <col min="14083" max="14083" width="22.8984375" style="27" customWidth="1"/>
    <col min="14084" max="14084" width="23.3984375" style="27" customWidth="1"/>
    <col min="14085" max="14085" width="17.09765625" style="27" customWidth="1"/>
    <col min="14086" max="14086" width="20.59765625" style="27" customWidth="1"/>
    <col min="14087" max="14087" width="17.3984375" style="27" customWidth="1"/>
    <col min="14088" max="14088" width="17.59765625" style="27" customWidth="1"/>
    <col min="14089" max="14089" width="18.09765625" style="27" customWidth="1"/>
    <col min="14090" max="14090" width="17.09765625" style="27" customWidth="1"/>
    <col min="14091" max="14091" width="20.296875" style="27" customWidth="1"/>
    <col min="14092" max="14092" width="22.3984375" style="27" customWidth="1"/>
    <col min="14093" max="14093" width="35.5" style="27" customWidth="1"/>
    <col min="14094" max="14094" width="17.5" style="27" customWidth="1"/>
    <col min="14095" max="14095" width="15.796875" style="27" customWidth="1"/>
    <col min="14096" max="14096" width="15" style="27" customWidth="1"/>
    <col min="14097" max="14097" width="15.796875" style="27" customWidth="1"/>
    <col min="14098" max="14098" width="20.19921875" style="27" customWidth="1"/>
    <col min="14099" max="14099" width="18.796875" style="27" customWidth="1"/>
    <col min="14100" max="14100" width="17.69921875" style="27" customWidth="1"/>
    <col min="14101" max="14101" width="17.19921875" style="27" customWidth="1"/>
    <col min="14102" max="14102" width="17.09765625" style="27" customWidth="1"/>
    <col min="14103" max="14103" width="18.3984375" style="27" customWidth="1"/>
    <col min="14104" max="14104" width="17" style="27" bestFit="1" customWidth="1"/>
    <col min="14105" max="14105" width="11.796875" style="27" bestFit="1" customWidth="1"/>
    <col min="14106" max="14107" width="12.69921875" style="27" bestFit="1" customWidth="1"/>
    <col min="14108" max="14108" width="16.296875" style="27" bestFit="1" customWidth="1"/>
    <col min="14109" max="14109" width="13.796875" style="27" bestFit="1" customWidth="1"/>
    <col min="14110" max="14336" width="8.19921875" style="27"/>
    <col min="14337" max="14337" width="41.69921875" style="27" customWidth="1"/>
    <col min="14338" max="14338" width="24.59765625" style="27" customWidth="1"/>
    <col min="14339" max="14339" width="22.8984375" style="27" customWidth="1"/>
    <col min="14340" max="14340" width="23.3984375" style="27" customWidth="1"/>
    <col min="14341" max="14341" width="17.09765625" style="27" customWidth="1"/>
    <col min="14342" max="14342" width="20.59765625" style="27" customWidth="1"/>
    <col min="14343" max="14343" width="17.3984375" style="27" customWidth="1"/>
    <col min="14344" max="14344" width="17.59765625" style="27" customWidth="1"/>
    <col min="14345" max="14345" width="18.09765625" style="27" customWidth="1"/>
    <col min="14346" max="14346" width="17.09765625" style="27" customWidth="1"/>
    <col min="14347" max="14347" width="20.296875" style="27" customWidth="1"/>
    <col min="14348" max="14348" width="22.3984375" style="27" customWidth="1"/>
    <col min="14349" max="14349" width="35.5" style="27" customWidth="1"/>
    <col min="14350" max="14350" width="17.5" style="27" customWidth="1"/>
    <col min="14351" max="14351" width="15.796875" style="27" customWidth="1"/>
    <col min="14352" max="14352" width="15" style="27" customWidth="1"/>
    <col min="14353" max="14353" width="15.796875" style="27" customWidth="1"/>
    <col min="14354" max="14354" width="20.19921875" style="27" customWidth="1"/>
    <col min="14355" max="14355" width="18.796875" style="27" customWidth="1"/>
    <col min="14356" max="14356" width="17.69921875" style="27" customWidth="1"/>
    <col min="14357" max="14357" width="17.19921875" style="27" customWidth="1"/>
    <col min="14358" max="14358" width="17.09765625" style="27" customWidth="1"/>
    <col min="14359" max="14359" width="18.3984375" style="27" customWidth="1"/>
    <col min="14360" max="14360" width="17" style="27" bestFit="1" customWidth="1"/>
    <col min="14361" max="14361" width="11.796875" style="27" bestFit="1" customWidth="1"/>
    <col min="14362" max="14363" width="12.69921875" style="27" bestFit="1" customWidth="1"/>
    <col min="14364" max="14364" width="16.296875" style="27" bestFit="1" customWidth="1"/>
    <col min="14365" max="14365" width="13.796875" style="27" bestFit="1" customWidth="1"/>
    <col min="14366" max="14592" width="8.19921875" style="27"/>
    <col min="14593" max="14593" width="41.69921875" style="27" customWidth="1"/>
    <col min="14594" max="14594" width="24.59765625" style="27" customWidth="1"/>
    <col min="14595" max="14595" width="22.8984375" style="27" customWidth="1"/>
    <col min="14596" max="14596" width="23.3984375" style="27" customWidth="1"/>
    <col min="14597" max="14597" width="17.09765625" style="27" customWidth="1"/>
    <col min="14598" max="14598" width="20.59765625" style="27" customWidth="1"/>
    <col min="14599" max="14599" width="17.3984375" style="27" customWidth="1"/>
    <col min="14600" max="14600" width="17.59765625" style="27" customWidth="1"/>
    <col min="14601" max="14601" width="18.09765625" style="27" customWidth="1"/>
    <col min="14602" max="14602" width="17.09765625" style="27" customWidth="1"/>
    <col min="14603" max="14603" width="20.296875" style="27" customWidth="1"/>
    <col min="14604" max="14604" width="22.3984375" style="27" customWidth="1"/>
    <col min="14605" max="14605" width="35.5" style="27" customWidth="1"/>
    <col min="14606" max="14606" width="17.5" style="27" customWidth="1"/>
    <col min="14607" max="14607" width="15.796875" style="27" customWidth="1"/>
    <col min="14608" max="14608" width="15" style="27" customWidth="1"/>
    <col min="14609" max="14609" width="15.796875" style="27" customWidth="1"/>
    <col min="14610" max="14610" width="20.19921875" style="27" customWidth="1"/>
    <col min="14611" max="14611" width="18.796875" style="27" customWidth="1"/>
    <col min="14612" max="14612" width="17.69921875" style="27" customWidth="1"/>
    <col min="14613" max="14613" width="17.19921875" style="27" customWidth="1"/>
    <col min="14614" max="14614" width="17.09765625" style="27" customWidth="1"/>
    <col min="14615" max="14615" width="18.3984375" style="27" customWidth="1"/>
    <col min="14616" max="14616" width="17" style="27" bestFit="1" customWidth="1"/>
    <col min="14617" max="14617" width="11.796875" style="27" bestFit="1" customWidth="1"/>
    <col min="14618" max="14619" width="12.69921875" style="27" bestFit="1" customWidth="1"/>
    <col min="14620" max="14620" width="16.296875" style="27" bestFit="1" customWidth="1"/>
    <col min="14621" max="14621" width="13.796875" style="27" bestFit="1" customWidth="1"/>
    <col min="14622" max="14848" width="8.19921875" style="27"/>
    <col min="14849" max="14849" width="41.69921875" style="27" customWidth="1"/>
    <col min="14850" max="14850" width="24.59765625" style="27" customWidth="1"/>
    <col min="14851" max="14851" width="22.8984375" style="27" customWidth="1"/>
    <col min="14852" max="14852" width="23.3984375" style="27" customWidth="1"/>
    <col min="14853" max="14853" width="17.09765625" style="27" customWidth="1"/>
    <col min="14854" max="14854" width="20.59765625" style="27" customWidth="1"/>
    <col min="14855" max="14855" width="17.3984375" style="27" customWidth="1"/>
    <col min="14856" max="14856" width="17.59765625" style="27" customWidth="1"/>
    <col min="14857" max="14857" width="18.09765625" style="27" customWidth="1"/>
    <col min="14858" max="14858" width="17.09765625" style="27" customWidth="1"/>
    <col min="14859" max="14859" width="20.296875" style="27" customWidth="1"/>
    <col min="14860" max="14860" width="22.3984375" style="27" customWidth="1"/>
    <col min="14861" max="14861" width="35.5" style="27" customWidth="1"/>
    <col min="14862" max="14862" width="17.5" style="27" customWidth="1"/>
    <col min="14863" max="14863" width="15.796875" style="27" customWidth="1"/>
    <col min="14864" max="14864" width="15" style="27" customWidth="1"/>
    <col min="14865" max="14865" width="15.796875" style="27" customWidth="1"/>
    <col min="14866" max="14866" width="20.19921875" style="27" customWidth="1"/>
    <col min="14867" max="14867" width="18.796875" style="27" customWidth="1"/>
    <col min="14868" max="14868" width="17.69921875" style="27" customWidth="1"/>
    <col min="14869" max="14869" width="17.19921875" style="27" customWidth="1"/>
    <col min="14870" max="14870" width="17.09765625" style="27" customWidth="1"/>
    <col min="14871" max="14871" width="18.3984375" style="27" customWidth="1"/>
    <col min="14872" max="14872" width="17" style="27" bestFit="1" customWidth="1"/>
    <col min="14873" max="14873" width="11.796875" style="27" bestFit="1" customWidth="1"/>
    <col min="14874" max="14875" width="12.69921875" style="27" bestFit="1" customWidth="1"/>
    <col min="14876" max="14876" width="16.296875" style="27" bestFit="1" customWidth="1"/>
    <col min="14877" max="14877" width="13.796875" style="27" bestFit="1" customWidth="1"/>
    <col min="14878" max="15104" width="8.19921875" style="27"/>
    <col min="15105" max="15105" width="41.69921875" style="27" customWidth="1"/>
    <col min="15106" max="15106" width="24.59765625" style="27" customWidth="1"/>
    <col min="15107" max="15107" width="22.8984375" style="27" customWidth="1"/>
    <col min="15108" max="15108" width="23.3984375" style="27" customWidth="1"/>
    <col min="15109" max="15109" width="17.09765625" style="27" customWidth="1"/>
    <col min="15110" max="15110" width="20.59765625" style="27" customWidth="1"/>
    <col min="15111" max="15111" width="17.3984375" style="27" customWidth="1"/>
    <col min="15112" max="15112" width="17.59765625" style="27" customWidth="1"/>
    <col min="15113" max="15113" width="18.09765625" style="27" customWidth="1"/>
    <col min="15114" max="15114" width="17.09765625" style="27" customWidth="1"/>
    <col min="15115" max="15115" width="20.296875" style="27" customWidth="1"/>
    <col min="15116" max="15116" width="22.3984375" style="27" customWidth="1"/>
    <col min="15117" max="15117" width="35.5" style="27" customWidth="1"/>
    <col min="15118" max="15118" width="17.5" style="27" customWidth="1"/>
    <col min="15119" max="15119" width="15.796875" style="27" customWidth="1"/>
    <col min="15120" max="15120" width="15" style="27" customWidth="1"/>
    <col min="15121" max="15121" width="15.796875" style="27" customWidth="1"/>
    <col min="15122" max="15122" width="20.19921875" style="27" customWidth="1"/>
    <col min="15123" max="15123" width="18.796875" style="27" customWidth="1"/>
    <col min="15124" max="15124" width="17.69921875" style="27" customWidth="1"/>
    <col min="15125" max="15125" width="17.19921875" style="27" customWidth="1"/>
    <col min="15126" max="15126" width="17.09765625" style="27" customWidth="1"/>
    <col min="15127" max="15127" width="18.3984375" style="27" customWidth="1"/>
    <col min="15128" max="15128" width="17" style="27" bestFit="1" customWidth="1"/>
    <col min="15129" max="15129" width="11.796875" style="27" bestFit="1" customWidth="1"/>
    <col min="15130" max="15131" width="12.69921875" style="27" bestFit="1" customWidth="1"/>
    <col min="15132" max="15132" width="16.296875" style="27" bestFit="1" customWidth="1"/>
    <col min="15133" max="15133" width="13.796875" style="27" bestFit="1" customWidth="1"/>
    <col min="15134" max="15360" width="8.19921875" style="27"/>
    <col min="15361" max="15361" width="41.69921875" style="27" customWidth="1"/>
    <col min="15362" max="15362" width="24.59765625" style="27" customWidth="1"/>
    <col min="15363" max="15363" width="22.8984375" style="27" customWidth="1"/>
    <col min="15364" max="15364" width="23.3984375" style="27" customWidth="1"/>
    <col min="15365" max="15365" width="17.09765625" style="27" customWidth="1"/>
    <col min="15366" max="15366" width="20.59765625" style="27" customWidth="1"/>
    <col min="15367" max="15367" width="17.3984375" style="27" customWidth="1"/>
    <col min="15368" max="15368" width="17.59765625" style="27" customWidth="1"/>
    <col min="15369" max="15369" width="18.09765625" style="27" customWidth="1"/>
    <col min="15370" max="15370" width="17.09765625" style="27" customWidth="1"/>
    <col min="15371" max="15371" width="20.296875" style="27" customWidth="1"/>
    <col min="15372" max="15372" width="22.3984375" style="27" customWidth="1"/>
    <col min="15373" max="15373" width="35.5" style="27" customWidth="1"/>
    <col min="15374" max="15374" width="17.5" style="27" customWidth="1"/>
    <col min="15375" max="15375" width="15.796875" style="27" customWidth="1"/>
    <col min="15376" max="15376" width="15" style="27" customWidth="1"/>
    <col min="15377" max="15377" width="15.796875" style="27" customWidth="1"/>
    <col min="15378" max="15378" width="20.19921875" style="27" customWidth="1"/>
    <col min="15379" max="15379" width="18.796875" style="27" customWidth="1"/>
    <col min="15380" max="15380" width="17.69921875" style="27" customWidth="1"/>
    <col min="15381" max="15381" width="17.19921875" style="27" customWidth="1"/>
    <col min="15382" max="15382" width="17.09765625" style="27" customWidth="1"/>
    <col min="15383" max="15383" width="18.3984375" style="27" customWidth="1"/>
    <col min="15384" max="15384" width="17" style="27" bestFit="1" customWidth="1"/>
    <col min="15385" max="15385" width="11.796875" style="27" bestFit="1" customWidth="1"/>
    <col min="15386" max="15387" width="12.69921875" style="27" bestFit="1" customWidth="1"/>
    <col min="15388" max="15388" width="16.296875" style="27" bestFit="1" customWidth="1"/>
    <col min="15389" max="15389" width="13.796875" style="27" bestFit="1" customWidth="1"/>
    <col min="15390" max="15616" width="8.19921875" style="27"/>
    <col min="15617" max="15617" width="41.69921875" style="27" customWidth="1"/>
    <col min="15618" max="15618" width="24.59765625" style="27" customWidth="1"/>
    <col min="15619" max="15619" width="22.8984375" style="27" customWidth="1"/>
    <col min="15620" max="15620" width="23.3984375" style="27" customWidth="1"/>
    <col min="15621" max="15621" width="17.09765625" style="27" customWidth="1"/>
    <col min="15622" max="15622" width="20.59765625" style="27" customWidth="1"/>
    <col min="15623" max="15623" width="17.3984375" style="27" customWidth="1"/>
    <col min="15624" max="15624" width="17.59765625" style="27" customWidth="1"/>
    <col min="15625" max="15625" width="18.09765625" style="27" customWidth="1"/>
    <col min="15626" max="15626" width="17.09765625" style="27" customWidth="1"/>
    <col min="15627" max="15627" width="20.296875" style="27" customWidth="1"/>
    <col min="15628" max="15628" width="22.3984375" style="27" customWidth="1"/>
    <col min="15629" max="15629" width="35.5" style="27" customWidth="1"/>
    <col min="15630" max="15630" width="17.5" style="27" customWidth="1"/>
    <col min="15631" max="15631" width="15.796875" style="27" customWidth="1"/>
    <col min="15632" max="15632" width="15" style="27" customWidth="1"/>
    <col min="15633" max="15633" width="15.796875" style="27" customWidth="1"/>
    <col min="15634" max="15634" width="20.19921875" style="27" customWidth="1"/>
    <col min="15635" max="15635" width="18.796875" style="27" customWidth="1"/>
    <col min="15636" max="15636" width="17.69921875" style="27" customWidth="1"/>
    <col min="15637" max="15637" width="17.19921875" style="27" customWidth="1"/>
    <col min="15638" max="15638" width="17.09765625" style="27" customWidth="1"/>
    <col min="15639" max="15639" width="18.3984375" style="27" customWidth="1"/>
    <col min="15640" max="15640" width="17" style="27" bestFit="1" customWidth="1"/>
    <col min="15641" max="15641" width="11.796875" style="27" bestFit="1" customWidth="1"/>
    <col min="15642" max="15643" width="12.69921875" style="27" bestFit="1" customWidth="1"/>
    <col min="15644" max="15644" width="16.296875" style="27" bestFit="1" customWidth="1"/>
    <col min="15645" max="15645" width="13.796875" style="27" bestFit="1" customWidth="1"/>
    <col min="15646" max="15872" width="8.19921875" style="27"/>
    <col min="15873" max="15873" width="41.69921875" style="27" customWidth="1"/>
    <col min="15874" max="15874" width="24.59765625" style="27" customWidth="1"/>
    <col min="15875" max="15875" width="22.8984375" style="27" customWidth="1"/>
    <col min="15876" max="15876" width="23.3984375" style="27" customWidth="1"/>
    <col min="15877" max="15877" width="17.09765625" style="27" customWidth="1"/>
    <col min="15878" max="15878" width="20.59765625" style="27" customWidth="1"/>
    <col min="15879" max="15879" width="17.3984375" style="27" customWidth="1"/>
    <col min="15880" max="15880" width="17.59765625" style="27" customWidth="1"/>
    <col min="15881" max="15881" width="18.09765625" style="27" customWidth="1"/>
    <col min="15882" max="15882" width="17.09765625" style="27" customWidth="1"/>
    <col min="15883" max="15883" width="20.296875" style="27" customWidth="1"/>
    <col min="15884" max="15884" width="22.3984375" style="27" customWidth="1"/>
    <col min="15885" max="15885" width="35.5" style="27" customWidth="1"/>
    <col min="15886" max="15886" width="17.5" style="27" customWidth="1"/>
    <col min="15887" max="15887" width="15.796875" style="27" customWidth="1"/>
    <col min="15888" max="15888" width="15" style="27" customWidth="1"/>
    <col min="15889" max="15889" width="15.796875" style="27" customWidth="1"/>
    <col min="15890" max="15890" width="20.19921875" style="27" customWidth="1"/>
    <col min="15891" max="15891" width="18.796875" style="27" customWidth="1"/>
    <col min="15892" max="15892" width="17.69921875" style="27" customWidth="1"/>
    <col min="15893" max="15893" width="17.19921875" style="27" customWidth="1"/>
    <col min="15894" max="15894" width="17.09765625" style="27" customWidth="1"/>
    <col min="15895" max="15895" width="18.3984375" style="27" customWidth="1"/>
    <col min="15896" max="15896" width="17" style="27" bestFit="1" customWidth="1"/>
    <col min="15897" max="15897" width="11.796875" style="27" bestFit="1" customWidth="1"/>
    <col min="15898" max="15899" width="12.69921875" style="27" bestFit="1" customWidth="1"/>
    <col min="15900" max="15900" width="16.296875" style="27" bestFit="1" customWidth="1"/>
    <col min="15901" max="15901" width="13.796875" style="27" bestFit="1" customWidth="1"/>
    <col min="15902" max="16128" width="8.19921875" style="27"/>
    <col min="16129" max="16129" width="41.69921875" style="27" customWidth="1"/>
    <col min="16130" max="16130" width="24.59765625" style="27" customWidth="1"/>
    <col min="16131" max="16131" width="22.8984375" style="27" customWidth="1"/>
    <col min="16132" max="16132" width="23.3984375" style="27" customWidth="1"/>
    <col min="16133" max="16133" width="17.09765625" style="27" customWidth="1"/>
    <col min="16134" max="16134" width="20.59765625" style="27" customWidth="1"/>
    <col min="16135" max="16135" width="17.3984375" style="27" customWidth="1"/>
    <col min="16136" max="16136" width="17.59765625" style="27" customWidth="1"/>
    <col min="16137" max="16137" width="18.09765625" style="27" customWidth="1"/>
    <col min="16138" max="16138" width="17.09765625" style="27" customWidth="1"/>
    <col min="16139" max="16139" width="20.296875" style="27" customWidth="1"/>
    <col min="16140" max="16140" width="22.3984375" style="27" customWidth="1"/>
    <col min="16141" max="16141" width="35.5" style="27" customWidth="1"/>
    <col min="16142" max="16142" width="17.5" style="27" customWidth="1"/>
    <col min="16143" max="16143" width="15.796875" style="27" customWidth="1"/>
    <col min="16144" max="16144" width="15" style="27" customWidth="1"/>
    <col min="16145" max="16145" width="15.796875" style="27" customWidth="1"/>
    <col min="16146" max="16146" width="20.19921875" style="27" customWidth="1"/>
    <col min="16147" max="16147" width="18.796875" style="27" customWidth="1"/>
    <col min="16148" max="16148" width="17.69921875" style="27" customWidth="1"/>
    <col min="16149" max="16149" width="17.19921875" style="27" customWidth="1"/>
    <col min="16150" max="16150" width="17.09765625" style="27" customWidth="1"/>
    <col min="16151" max="16151" width="18.3984375" style="27" customWidth="1"/>
    <col min="16152" max="16152" width="17" style="27" bestFit="1" customWidth="1"/>
    <col min="16153" max="16153" width="11.796875" style="27" bestFit="1" customWidth="1"/>
    <col min="16154" max="16155" width="12.69921875" style="27" bestFit="1" customWidth="1"/>
    <col min="16156" max="16156" width="16.296875" style="27" bestFit="1" customWidth="1"/>
    <col min="16157" max="16157" width="13.796875" style="27" bestFit="1" customWidth="1"/>
    <col min="16158" max="16384" width="8.19921875" style="27"/>
  </cols>
  <sheetData>
    <row r="1" spans="1:27" s="38" customFormat="1" ht="21" customHeight="1" x14ac:dyDescent="0.4">
      <c r="A1" s="605" t="s">
        <v>6</v>
      </c>
      <c r="B1" s="605"/>
      <c r="C1" s="605"/>
      <c r="D1" s="605"/>
      <c r="E1" s="605"/>
      <c r="F1" s="605"/>
      <c r="G1" s="605"/>
      <c r="H1" s="605"/>
      <c r="I1" s="605"/>
      <c r="J1" s="605"/>
      <c r="K1" s="605"/>
      <c r="L1" s="605"/>
      <c r="M1" s="605" t="s">
        <v>6</v>
      </c>
      <c r="N1" s="605"/>
      <c r="O1" s="605"/>
      <c r="P1" s="605"/>
      <c r="Q1" s="605"/>
      <c r="R1" s="605"/>
      <c r="S1" s="605"/>
      <c r="T1" s="605"/>
      <c r="U1" s="605"/>
      <c r="V1" s="605"/>
      <c r="W1" s="605"/>
      <c r="X1" s="605"/>
      <c r="Y1" s="605"/>
      <c r="Z1" s="605"/>
      <c r="AA1" s="605"/>
    </row>
    <row r="2" spans="1:27" s="38" customFormat="1" ht="21" customHeight="1" x14ac:dyDescent="0.4">
      <c r="A2" s="605" t="s">
        <v>0</v>
      </c>
      <c r="B2" s="605"/>
      <c r="C2" s="605"/>
      <c r="D2" s="605"/>
      <c r="E2" s="605"/>
      <c r="F2" s="605"/>
      <c r="G2" s="605"/>
      <c r="H2" s="605"/>
      <c r="I2" s="605"/>
      <c r="J2" s="605"/>
      <c r="K2" s="605"/>
      <c r="L2" s="605"/>
      <c r="M2" s="605" t="s">
        <v>0</v>
      </c>
      <c r="N2" s="605"/>
      <c r="O2" s="605"/>
      <c r="P2" s="605"/>
      <c r="Q2" s="605"/>
      <c r="R2" s="605"/>
      <c r="S2" s="605"/>
      <c r="T2" s="605"/>
      <c r="U2" s="605"/>
      <c r="V2" s="605"/>
      <c r="W2" s="605"/>
      <c r="X2" s="605"/>
      <c r="Y2" s="605"/>
      <c r="Z2" s="605"/>
      <c r="AA2" s="605"/>
    </row>
    <row r="3" spans="1:27" s="38" customFormat="1" ht="21" customHeight="1" x14ac:dyDescent="0.4">
      <c r="A3" s="605" t="s">
        <v>39</v>
      </c>
      <c r="B3" s="605"/>
      <c r="C3" s="605"/>
      <c r="D3" s="605"/>
      <c r="E3" s="605"/>
      <c r="F3" s="605"/>
      <c r="G3" s="605"/>
      <c r="H3" s="605"/>
      <c r="I3" s="605"/>
      <c r="J3" s="605"/>
      <c r="K3" s="605"/>
      <c r="L3" s="605"/>
      <c r="M3" s="605" t="s">
        <v>39</v>
      </c>
      <c r="N3" s="605"/>
      <c r="O3" s="605"/>
      <c r="P3" s="605"/>
      <c r="Q3" s="605"/>
      <c r="R3" s="605"/>
      <c r="S3" s="605"/>
      <c r="T3" s="605"/>
      <c r="U3" s="605"/>
      <c r="V3" s="605"/>
      <c r="W3" s="605"/>
      <c r="X3" s="605"/>
      <c r="Y3" s="605"/>
      <c r="Z3" s="605"/>
      <c r="AA3" s="605"/>
    </row>
    <row r="4" spans="1:27" s="38" customFormat="1" ht="21" customHeight="1" x14ac:dyDescent="0.4">
      <c r="A4" s="605" t="s">
        <v>269</v>
      </c>
      <c r="B4" s="605"/>
      <c r="C4" s="605"/>
      <c r="D4" s="605"/>
      <c r="E4" s="605"/>
      <c r="F4" s="605"/>
      <c r="G4" s="605"/>
      <c r="H4" s="605"/>
      <c r="I4" s="605"/>
      <c r="J4" s="605"/>
      <c r="K4" s="605"/>
      <c r="L4" s="605"/>
      <c r="M4" s="605" t="s">
        <v>269</v>
      </c>
      <c r="N4" s="605"/>
      <c r="O4" s="605"/>
      <c r="P4" s="605"/>
      <c r="Q4" s="605"/>
      <c r="R4" s="605"/>
      <c r="S4" s="605"/>
      <c r="T4" s="605"/>
      <c r="U4" s="605"/>
      <c r="V4" s="605"/>
      <c r="W4" s="605"/>
      <c r="X4" s="605"/>
      <c r="Y4" s="605"/>
      <c r="Z4" s="605"/>
      <c r="AA4" s="605"/>
    </row>
    <row r="5" spans="1:27" s="38" customFormat="1" ht="21" customHeight="1" x14ac:dyDescent="0.4">
      <c r="A5" s="165" t="s">
        <v>215</v>
      </c>
      <c r="B5" s="25"/>
      <c r="C5" s="25"/>
      <c r="D5" s="25"/>
      <c r="E5" s="25"/>
      <c r="F5" s="25"/>
      <c r="G5" s="25"/>
      <c r="H5" s="25"/>
      <c r="I5" s="25"/>
      <c r="J5" s="25"/>
      <c r="K5" s="25"/>
      <c r="M5" s="165" t="s">
        <v>215</v>
      </c>
      <c r="N5" s="25"/>
      <c r="O5" s="25"/>
      <c r="P5" s="25"/>
      <c r="Q5" s="183"/>
      <c r="R5" s="25"/>
      <c r="S5" s="25"/>
      <c r="T5" s="25"/>
      <c r="U5" s="25"/>
      <c r="V5" s="25"/>
      <c r="W5" s="25"/>
    </row>
    <row r="6" spans="1:27" s="38" customFormat="1" ht="21" customHeight="1" x14ac:dyDescent="0.4">
      <c r="A6" s="35"/>
      <c r="B6" s="25"/>
      <c r="C6" s="25"/>
      <c r="D6" s="25"/>
      <c r="E6" s="25"/>
      <c r="F6" s="25"/>
      <c r="G6" s="25"/>
      <c r="H6" s="25"/>
      <c r="I6" s="25"/>
      <c r="J6" s="25"/>
      <c r="K6" s="606" t="s">
        <v>8</v>
      </c>
      <c r="L6" s="606"/>
      <c r="M6" s="35"/>
      <c r="N6" s="25"/>
      <c r="O6" s="25"/>
      <c r="P6" s="25"/>
      <c r="Q6" s="183"/>
      <c r="R6" s="25"/>
      <c r="S6" s="25"/>
      <c r="T6" s="25"/>
      <c r="U6" s="25"/>
      <c r="V6" s="25"/>
      <c r="W6" s="25"/>
      <c r="Y6" s="40"/>
      <c r="Z6" s="606" t="s">
        <v>8</v>
      </c>
      <c r="AA6" s="606"/>
    </row>
    <row r="7" spans="1:27" s="168" customFormat="1" ht="21" customHeight="1" x14ac:dyDescent="0.5">
      <c r="A7" s="184"/>
      <c r="B7" s="602" t="s">
        <v>216</v>
      </c>
      <c r="C7" s="603"/>
      <c r="D7" s="603"/>
      <c r="E7" s="603"/>
      <c r="F7" s="603"/>
      <c r="G7" s="603"/>
      <c r="H7" s="603"/>
      <c r="I7" s="603"/>
      <c r="J7" s="603"/>
      <c r="K7" s="603"/>
      <c r="L7" s="604"/>
      <c r="M7" s="184"/>
      <c r="N7" s="603" t="s">
        <v>270</v>
      </c>
      <c r="O7" s="603"/>
      <c r="P7" s="603"/>
      <c r="Q7" s="603"/>
      <c r="R7" s="603"/>
      <c r="S7" s="603"/>
      <c r="T7" s="603"/>
      <c r="U7" s="603"/>
      <c r="V7" s="603"/>
      <c r="W7" s="603"/>
      <c r="X7" s="604"/>
      <c r="Y7" s="501"/>
      <c r="Z7" s="501"/>
      <c r="AA7" s="501"/>
    </row>
    <row r="8" spans="1:27" s="168" customFormat="1" ht="21" customHeight="1" x14ac:dyDescent="0.5">
      <c r="A8" s="186"/>
      <c r="B8" s="602" t="s">
        <v>217</v>
      </c>
      <c r="C8" s="603"/>
      <c r="D8" s="603"/>
      <c r="E8" s="603"/>
      <c r="F8" s="604"/>
      <c r="G8" s="602" t="s">
        <v>218</v>
      </c>
      <c r="H8" s="603"/>
      <c r="I8" s="603"/>
      <c r="J8" s="603"/>
      <c r="K8" s="604"/>
      <c r="L8" s="185"/>
      <c r="M8" s="186"/>
      <c r="N8" s="602" t="s">
        <v>217</v>
      </c>
      <c r="O8" s="603"/>
      <c r="P8" s="603"/>
      <c r="Q8" s="603"/>
      <c r="R8" s="604"/>
      <c r="S8" s="602" t="s">
        <v>218</v>
      </c>
      <c r="T8" s="603"/>
      <c r="U8" s="603"/>
      <c r="V8" s="603"/>
      <c r="W8" s="604"/>
      <c r="X8" s="185"/>
      <c r="Y8" s="498" t="s">
        <v>144</v>
      </c>
      <c r="Z8" s="498" t="s">
        <v>144</v>
      </c>
      <c r="AA8" s="498" t="s">
        <v>144</v>
      </c>
    </row>
    <row r="9" spans="1:27" s="40" customFormat="1" ht="21" customHeight="1" x14ac:dyDescent="0.45">
      <c r="A9" s="39" t="s">
        <v>46</v>
      </c>
      <c r="B9" s="150" t="s">
        <v>219</v>
      </c>
      <c r="C9" s="180" t="s">
        <v>51</v>
      </c>
      <c r="D9" s="150" t="s">
        <v>48</v>
      </c>
      <c r="E9" s="180" t="s">
        <v>220</v>
      </c>
      <c r="F9" s="150" t="s">
        <v>5</v>
      </c>
      <c r="G9" s="150" t="s">
        <v>219</v>
      </c>
      <c r="H9" s="150" t="s">
        <v>51</v>
      </c>
      <c r="I9" s="150" t="s">
        <v>221</v>
      </c>
      <c r="J9" s="150" t="s">
        <v>49</v>
      </c>
      <c r="K9" s="150" t="s">
        <v>5</v>
      </c>
      <c r="L9" s="39" t="s">
        <v>93</v>
      </c>
      <c r="M9" s="39" t="s">
        <v>46</v>
      </c>
      <c r="N9" s="150" t="s">
        <v>219</v>
      </c>
      <c r="O9" s="180" t="s">
        <v>51</v>
      </c>
      <c r="P9" s="150" t="s">
        <v>48</v>
      </c>
      <c r="Q9" s="180" t="s">
        <v>220</v>
      </c>
      <c r="R9" s="150" t="s">
        <v>5</v>
      </c>
      <c r="S9" s="150" t="s">
        <v>219</v>
      </c>
      <c r="T9" s="150" t="s">
        <v>51</v>
      </c>
      <c r="U9" s="150" t="s">
        <v>221</v>
      </c>
      <c r="V9" s="150" t="s">
        <v>49</v>
      </c>
      <c r="W9" s="150" t="s">
        <v>5</v>
      </c>
      <c r="X9" s="39" t="s">
        <v>93</v>
      </c>
      <c r="Y9" s="498" t="s">
        <v>222</v>
      </c>
      <c r="Z9" s="498" t="s">
        <v>223</v>
      </c>
      <c r="AA9" s="498" t="s">
        <v>224</v>
      </c>
    </row>
    <row r="10" spans="1:27" s="38" customFormat="1" ht="21" customHeight="1" x14ac:dyDescent="0.45">
      <c r="A10" s="41"/>
      <c r="B10" s="150" t="s">
        <v>225</v>
      </c>
      <c r="C10" s="150" t="s">
        <v>226</v>
      </c>
      <c r="D10" s="150" t="s">
        <v>227</v>
      </c>
      <c r="E10" s="187"/>
      <c r="F10" s="188"/>
      <c r="G10" s="150" t="s">
        <v>225</v>
      </c>
      <c r="H10" s="150" t="s">
        <v>228</v>
      </c>
      <c r="I10" s="187"/>
      <c r="J10" s="150" t="s">
        <v>229</v>
      </c>
      <c r="K10" s="187"/>
      <c r="L10" s="189"/>
      <c r="M10" s="41"/>
      <c r="N10" s="150" t="s">
        <v>225</v>
      </c>
      <c r="O10" s="150" t="s">
        <v>226</v>
      </c>
      <c r="P10" s="150" t="s">
        <v>227</v>
      </c>
      <c r="Q10" s="190"/>
      <c r="R10" s="188"/>
      <c r="S10" s="150" t="s">
        <v>225</v>
      </c>
      <c r="T10" s="150" t="s">
        <v>228</v>
      </c>
      <c r="U10" s="187"/>
      <c r="V10" s="150" t="s">
        <v>229</v>
      </c>
      <c r="W10" s="187"/>
      <c r="X10" s="189"/>
      <c r="Y10" s="498" t="s">
        <v>230</v>
      </c>
      <c r="Z10" s="498" t="s">
        <v>231</v>
      </c>
      <c r="AA10" s="498" t="s">
        <v>230</v>
      </c>
    </row>
    <row r="11" spans="1:27" s="38" customFormat="1" ht="21" customHeight="1" x14ac:dyDescent="0.45">
      <c r="A11" s="41"/>
      <c r="B11" s="150" t="s">
        <v>226</v>
      </c>
      <c r="C11" s="187"/>
      <c r="D11" s="150" t="s">
        <v>232</v>
      </c>
      <c r="E11" s="187"/>
      <c r="F11" s="188"/>
      <c r="G11" s="150" t="s">
        <v>233</v>
      </c>
      <c r="H11" s="150"/>
      <c r="I11" s="187"/>
      <c r="J11" s="187"/>
      <c r="K11" s="187"/>
      <c r="L11" s="189"/>
      <c r="M11" s="41"/>
      <c r="N11" s="150" t="s">
        <v>226</v>
      </c>
      <c r="O11" s="187"/>
      <c r="P11" s="150" t="s">
        <v>232</v>
      </c>
      <c r="Q11" s="190"/>
      <c r="R11" s="188"/>
      <c r="S11" s="150" t="s">
        <v>233</v>
      </c>
      <c r="T11" s="150"/>
      <c r="U11" s="187"/>
      <c r="V11" s="187"/>
      <c r="W11" s="187"/>
      <c r="X11" s="189"/>
      <c r="Y11" s="499"/>
      <c r="Z11" s="498" t="s">
        <v>230</v>
      </c>
      <c r="AA11" s="499"/>
    </row>
    <row r="12" spans="1:27" s="38" customFormat="1" ht="21" customHeight="1" x14ac:dyDescent="0.45">
      <c r="A12" s="41"/>
      <c r="B12" s="150"/>
      <c r="C12" s="187"/>
      <c r="D12" s="150"/>
      <c r="E12" s="187"/>
      <c r="F12" s="188"/>
      <c r="G12" s="150" t="s">
        <v>234</v>
      </c>
      <c r="H12" s="150"/>
      <c r="I12" s="187"/>
      <c r="J12" s="187"/>
      <c r="K12" s="187"/>
      <c r="L12" s="189"/>
      <c r="M12" s="41"/>
      <c r="N12" s="150"/>
      <c r="O12" s="187"/>
      <c r="P12" s="150"/>
      <c r="Q12" s="190"/>
      <c r="R12" s="188"/>
      <c r="S12" s="150" t="s">
        <v>234</v>
      </c>
      <c r="T12" s="150">
        <f>+T14+P14</f>
        <v>0</v>
      </c>
      <c r="U12" s="187"/>
      <c r="V12" s="187"/>
      <c r="W12" s="187"/>
      <c r="X12" s="189"/>
      <c r="Y12" s="500"/>
      <c r="Z12" s="500"/>
      <c r="AA12" s="500"/>
    </row>
    <row r="13" spans="1:27" s="192" customFormat="1" ht="21" customHeight="1" x14ac:dyDescent="0.4">
      <c r="A13" s="191"/>
      <c r="B13" s="191" t="s">
        <v>151</v>
      </c>
      <c r="C13" s="191" t="s">
        <v>152</v>
      </c>
      <c r="D13" s="191" t="s">
        <v>153</v>
      </c>
      <c r="E13" s="191" t="s">
        <v>154</v>
      </c>
      <c r="F13" s="191" t="s">
        <v>235</v>
      </c>
      <c r="G13" s="191" t="s">
        <v>236</v>
      </c>
      <c r="H13" s="191" t="s">
        <v>157</v>
      </c>
      <c r="I13" s="191" t="s">
        <v>158</v>
      </c>
      <c r="J13" s="191" t="s">
        <v>237</v>
      </c>
      <c r="K13" s="191" t="s">
        <v>238</v>
      </c>
      <c r="L13" s="191" t="s">
        <v>239</v>
      </c>
      <c r="M13" s="191"/>
      <c r="N13" s="191" t="s">
        <v>162</v>
      </c>
      <c r="O13" s="191" t="s">
        <v>163</v>
      </c>
      <c r="P13" s="191" t="s">
        <v>164</v>
      </c>
      <c r="Q13" s="191" t="s">
        <v>165</v>
      </c>
      <c r="R13" s="191" t="s">
        <v>240</v>
      </c>
      <c r="S13" s="191" t="s">
        <v>241</v>
      </c>
      <c r="T13" s="191" t="s">
        <v>242</v>
      </c>
      <c r="U13" s="191" t="s">
        <v>243</v>
      </c>
      <c r="V13" s="191" t="s">
        <v>244</v>
      </c>
      <c r="W13" s="191" t="s">
        <v>245</v>
      </c>
      <c r="X13" s="191" t="s">
        <v>246</v>
      </c>
      <c r="Y13" s="497" t="s">
        <v>247</v>
      </c>
      <c r="Z13" s="497" t="s">
        <v>248</v>
      </c>
      <c r="AA13" s="497" t="s">
        <v>249</v>
      </c>
    </row>
    <row r="14" spans="1:27" s="26" customFormat="1" ht="21" customHeight="1" x14ac:dyDescent="0.4">
      <c r="A14" s="193"/>
      <c r="B14" s="194"/>
      <c r="C14" s="194"/>
      <c r="D14" s="194"/>
      <c r="E14" s="194"/>
      <c r="F14" s="195" t="s">
        <v>250</v>
      </c>
      <c r="G14" s="194"/>
      <c r="H14" s="194"/>
      <c r="I14" s="194"/>
      <c r="J14" s="194"/>
      <c r="K14" s="195" t="s">
        <v>251</v>
      </c>
      <c r="L14" s="196"/>
      <c r="M14" s="194"/>
      <c r="N14" s="194"/>
      <c r="O14" s="194"/>
      <c r="P14" s="194"/>
      <c r="Q14" s="194"/>
      <c r="R14" s="195" t="s">
        <v>252</v>
      </c>
      <c r="S14" s="194"/>
      <c r="T14" s="194"/>
      <c r="U14" s="194"/>
      <c r="V14" s="194"/>
      <c r="W14" s="166" t="s">
        <v>253</v>
      </c>
      <c r="X14" s="197"/>
      <c r="Y14" s="198" t="s">
        <v>254</v>
      </c>
      <c r="Z14" s="198" t="s">
        <v>255</v>
      </c>
      <c r="AA14" s="198" t="s">
        <v>256</v>
      </c>
    </row>
    <row r="15" spans="1:27" s="38" customFormat="1" ht="21" customHeight="1" x14ac:dyDescent="0.4">
      <c r="A15" s="44" t="s">
        <v>57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44" t="s">
        <v>57</v>
      </c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99"/>
      <c r="Z15" s="199"/>
      <c r="AA15" s="199"/>
    </row>
    <row r="16" spans="1:27" ht="21" customHeight="1" x14ac:dyDescent="0.4">
      <c r="A16" s="200" t="s">
        <v>257</v>
      </c>
      <c r="B16" s="139">
        <v>76210260.409999982</v>
      </c>
      <c r="C16" s="139">
        <v>8966693.7600000016</v>
      </c>
      <c r="D16" s="139">
        <v>91271953.590000004</v>
      </c>
      <c r="E16" s="139">
        <v>10181412.380000001</v>
      </c>
      <c r="F16" s="117">
        <f>SUM(B16:E16)</f>
        <v>186630320.13999999</v>
      </c>
      <c r="G16" s="139">
        <v>287352956.44999975</v>
      </c>
      <c r="H16" s="201">
        <v>4818853.4000000004</v>
      </c>
      <c r="I16" s="139">
        <v>29905800.200000007</v>
      </c>
      <c r="J16" s="139">
        <v>17506436.5</v>
      </c>
      <c r="K16" s="117">
        <f>SUM(G16:J16)</f>
        <v>339584046.54999971</v>
      </c>
      <c r="L16" s="182">
        <f>SUM(F16+K16)</f>
        <v>526214366.6899997</v>
      </c>
      <c r="M16" s="200" t="s">
        <v>257</v>
      </c>
      <c r="N16" s="139">
        <v>132530719.68000001</v>
      </c>
      <c r="O16" s="139">
        <v>8185595.8799999999</v>
      </c>
      <c r="P16" s="139">
        <v>107556641.06999999</v>
      </c>
      <c r="Q16" s="139">
        <v>23876708.16</v>
      </c>
      <c r="R16" s="117">
        <f>SUM(N16:Q16)</f>
        <v>272149664.79000002</v>
      </c>
      <c r="S16" s="139">
        <v>400676760.62</v>
      </c>
      <c r="T16" s="201">
        <v>6891950</v>
      </c>
      <c r="U16" s="139">
        <v>31355692.100000001</v>
      </c>
      <c r="V16" s="139">
        <v>18286832</v>
      </c>
      <c r="W16" s="117">
        <f>SUM(S16:V16)</f>
        <v>457211234.72000003</v>
      </c>
      <c r="X16" s="182">
        <f>SUM(R16+W16)</f>
        <v>729360899.50999999</v>
      </c>
      <c r="Y16" s="527">
        <f>SUM((R16-F16)*100/F16)</f>
        <v>45.822856964424666</v>
      </c>
      <c r="Z16" s="526">
        <f t="shared" ref="Z16:AA20" si="0">SUM((W16-K16)*100/K16)</f>
        <v>34.638608428467826</v>
      </c>
      <c r="AA16" s="526">
        <f t="shared" si="0"/>
        <v>38.605280600344535</v>
      </c>
    </row>
    <row r="17" spans="1:27" ht="21" customHeight="1" x14ac:dyDescent="0.4">
      <c r="A17" s="202" t="s">
        <v>258</v>
      </c>
      <c r="B17" s="139">
        <v>110182073.10000001</v>
      </c>
      <c r="C17" s="139">
        <v>5799141.8300000001</v>
      </c>
      <c r="D17" s="139">
        <v>134298574.11999986</v>
      </c>
      <c r="E17" s="139">
        <v>22937515.450000003</v>
      </c>
      <c r="F17" s="117">
        <f t="shared" ref="F17:F39" si="1">SUM(B17:E17)</f>
        <v>273217304.49999988</v>
      </c>
      <c r="G17" s="139">
        <v>211111999.63</v>
      </c>
      <c r="H17" s="201">
        <v>3192462.07</v>
      </c>
      <c r="I17" s="139">
        <v>27026037.080000009</v>
      </c>
      <c r="J17" s="139">
        <v>11928101</v>
      </c>
      <c r="K17" s="117">
        <f t="shared" ref="K17:K39" si="2">SUM(G17:J17)</f>
        <v>253258599.78</v>
      </c>
      <c r="L17" s="182">
        <f>SUM(F17+K17)</f>
        <v>526475904.27999985</v>
      </c>
      <c r="M17" s="202" t="s">
        <v>258</v>
      </c>
      <c r="N17" s="139">
        <v>141174290.47999999</v>
      </c>
      <c r="O17" s="139">
        <v>5042482.75</v>
      </c>
      <c r="P17" s="139">
        <v>140571815.15000001</v>
      </c>
      <c r="Q17" s="139">
        <v>33715671.07</v>
      </c>
      <c r="R17" s="117">
        <f t="shared" ref="R17:R20" si="3">SUM(N17:Q17)</f>
        <v>320504259.44999999</v>
      </c>
      <c r="S17" s="139">
        <v>465911953.22000003</v>
      </c>
      <c r="T17" s="201">
        <v>7364056</v>
      </c>
      <c r="U17" s="139">
        <v>29102456.129999999</v>
      </c>
      <c r="V17" s="139">
        <v>14230886.550000001</v>
      </c>
      <c r="W17" s="117">
        <f>SUM(S17:V17)</f>
        <v>516609351.90000004</v>
      </c>
      <c r="X17" s="182">
        <f>SUM(R17+W17)</f>
        <v>837113611.35000002</v>
      </c>
      <c r="Y17" s="527">
        <f>SUM((R17-F17)*100/F17)</f>
        <v>17.30745240918667</v>
      </c>
      <c r="Z17" s="526">
        <f t="shared" si="0"/>
        <v>103.98491989956781</v>
      </c>
      <c r="AA17" s="526">
        <f t="shared" si="0"/>
        <v>59.003214495604198</v>
      </c>
    </row>
    <row r="18" spans="1:27" ht="21" customHeight="1" x14ac:dyDescent="0.4">
      <c r="A18" s="203" t="s">
        <v>259</v>
      </c>
      <c r="B18" s="139">
        <v>4204192</v>
      </c>
      <c r="C18" s="139">
        <v>137747</v>
      </c>
      <c r="D18" s="139">
        <v>18075443.690000005</v>
      </c>
      <c r="E18" s="139">
        <v>0</v>
      </c>
      <c r="F18" s="117">
        <f t="shared" si="1"/>
        <v>22417382.690000005</v>
      </c>
      <c r="G18" s="139">
        <v>14839412.530000003</v>
      </c>
      <c r="H18" s="201">
        <v>38360</v>
      </c>
      <c r="I18" s="139">
        <v>1254192.6300000001</v>
      </c>
      <c r="J18" s="139">
        <v>0</v>
      </c>
      <c r="K18" s="117">
        <f t="shared" si="2"/>
        <v>16131965.160000004</v>
      </c>
      <c r="L18" s="182">
        <f>SUM(F18+K18)</f>
        <v>38549347.850000009</v>
      </c>
      <c r="M18" s="203" t="s">
        <v>259</v>
      </c>
      <c r="N18" s="139">
        <v>5152063.9000000004</v>
      </c>
      <c r="O18" s="139">
        <v>28378</v>
      </c>
      <c r="P18" s="139">
        <v>17476285.350000001</v>
      </c>
      <c r="Q18" s="139">
        <v>0</v>
      </c>
      <c r="R18" s="117">
        <f t="shared" si="3"/>
        <v>22656727.25</v>
      </c>
      <c r="S18" s="139">
        <v>17029752.359999999</v>
      </c>
      <c r="T18" s="201">
        <v>9040</v>
      </c>
      <c r="U18" s="139">
        <v>1626859.77</v>
      </c>
      <c r="V18" s="139">
        <v>0</v>
      </c>
      <c r="W18" s="117">
        <f t="shared" ref="W18:W20" si="4">SUM(S18:V18)</f>
        <v>18665652.129999999</v>
      </c>
      <c r="X18" s="182">
        <f>SUM(R18+W18)</f>
        <v>41322379.379999995</v>
      </c>
      <c r="Y18" s="527">
        <f>SUM((R18-F18)*100/F18)</f>
        <v>1.0676739711757799</v>
      </c>
      <c r="Z18" s="526">
        <f t="shared" si="0"/>
        <v>15.70600323562808</v>
      </c>
      <c r="AA18" s="526">
        <f t="shared" si="0"/>
        <v>7.1934589938853808</v>
      </c>
    </row>
    <row r="19" spans="1:27" ht="25.2" customHeight="1" x14ac:dyDescent="0.4">
      <c r="A19" s="212" t="s">
        <v>260</v>
      </c>
      <c r="B19" s="139">
        <v>1555813.06</v>
      </c>
      <c r="C19" s="139">
        <v>52134</v>
      </c>
      <c r="D19" s="139">
        <v>7890032.7999999989</v>
      </c>
      <c r="E19" s="139">
        <v>318767</v>
      </c>
      <c r="F19" s="117">
        <f t="shared" si="1"/>
        <v>9816746.8599999994</v>
      </c>
      <c r="G19" s="139">
        <v>5753193.6999999993</v>
      </c>
      <c r="H19" s="201">
        <v>198940</v>
      </c>
      <c r="I19" s="139">
        <v>580905</v>
      </c>
      <c r="J19" s="139">
        <v>0</v>
      </c>
      <c r="K19" s="117">
        <f t="shared" si="2"/>
        <v>6533038.6999999993</v>
      </c>
      <c r="L19" s="182">
        <f>+F19+K19</f>
        <v>16349785.559999999</v>
      </c>
      <c r="M19" s="237" t="s">
        <v>260</v>
      </c>
      <c r="N19" s="139">
        <v>2947968.98</v>
      </c>
      <c r="O19" s="139">
        <v>25833.85</v>
      </c>
      <c r="P19" s="139">
        <v>8045246.3799999999</v>
      </c>
      <c r="Q19" s="139">
        <v>0</v>
      </c>
      <c r="R19" s="117">
        <f t="shared" si="3"/>
        <v>11019049.210000001</v>
      </c>
      <c r="S19" s="139">
        <v>6660186.6299999999</v>
      </c>
      <c r="T19" s="201">
        <v>121350</v>
      </c>
      <c r="U19" s="139">
        <v>1299309.7</v>
      </c>
      <c r="V19" s="139">
        <v>0</v>
      </c>
      <c r="W19" s="117">
        <f t="shared" si="4"/>
        <v>8080846.3300000001</v>
      </c>
      <c r="X19" s="182">
        <f>+R19+W19</f>
        <v>19099895.539999999</v>
      </c>
      <c r="Y19" s="527">
        <f>SUM((R19-F19)*100/F19)</f>
        <v>12.247462088474405</v>
      </c>
      <c r="Z19" s="526">
        <f t="shared" si="0"/>
        <v>23.692001548988237</v>
      </c>
      <c r="AA19" s="526">
        <f t="shared" si="0"/>
        <v>16.820465136424705</v>
      </c>
    </row>
    <row r="20" spans="1:27" ht="24" customHeight="1" x14ac:dyDescent="0.4">
      <c r="A20" s="213" t="s">
        <v>272</v>
      </c>
      <c r="B20" s="139">
        <v>2826315.2200000007</v>
      </c>
      <c r="C20" s="139">
        <v>31651.75</v>
      </c>
      <c r="D20" s="139">
        <v>121054.84999999999</v>
      </c>
      <c r="E20" s="139">
        <v>88500</v>
      </c>
      <c r="F20" s="117">
        <f t="shared" si="1"/>
        <v>3067521.8200000008</v>
      </c>
      <c r="G20" s="139">
        <v>8139316.629999999</v>
      </c>
      <c r="H20" s="201">
        <v>42560</v>
      </c>
      <c r="I20" s="139">
        <v>579744.69999999995</v>
      </c>
      <c r="J20" s="139">
        <v>615000</v>
      </c>
      <c r="K20" s="117">
        <f t="shared" si="2"/>
        <v>9376621.3299999982</v>
      </c>
      <c r="L20" s="182">
        <f>SUM(F20+K20)</f>
        <v>12444143.149999999</v>
      </c>
      <c r="M20" s="238" t="s">
        <v>261</v>
      </c>
      <c r="N20" s="139">
        <v>2718627.33</v>
      </c>
      <c r="O20" s="139">
        <v>84611</v>
      </c>
      <c r="P20" s="139">
        <v>235253.67</v>
      </c>
      <c r="Q20" s="139">
        <v>0</v>
      </c>
      <c r="R20" s="117">
        <f t="shared" si="3"/>
        <v>3038492</v>
      </c>
      <c r="S20" s="139">
        <v>2948497.7</v>
      </c>
      <c r="T20" s="201">
        <v>5440</v>
      </c>
      <c r="U20" s="139">
        <v>600497.86</v>
      </c>
      <c r="V20" s="139">
        <v>792860</v>
      </c>
      <c r="W20" s="117">
        <f t="shared" si="4"/>
        <v>4347295.5600000005</v>
      </c>
      <c r="X20" s="182">
        <f>SUM(R20+W20)</f>
        <v>7385787.5600000005</v>
      </c>
      <c r="Y20" s="527">
        <f>SUM((R20-F20)*100/F20)</f>
        <v>-0.94636066843041255</v>
      </c>
      <c r="Z20" s="526">
        <f t="shared" si="0"/>
        <v>-53.636865487027173</v>
      </c>
      <c r="AA20" s="526">
        <f t="shared" si="0"/>
        <v>-40.648484423774882</v>
      </c>
    </row>
    <row r="21" spans="1:27" s="38" customFormat="1" ht="21" customHeight="1" x14ac:dyDescent="0.4">
      <c r="A21" s="50" t="s">
        <v>66</v>
      </c>
      <c r="B21" s="117"/>
      <c r="C21" s="117"/>
      <c r="E21" s="117">
        <v>0</v>
      </c>
      <c r="F21" s="117">
        <f t="shared" si="1"/>
        <v>0</v>
      </c>
      <c r="G21" s="117"/>
      <c r="H21" s="117"/>
      <c r="I21" s="117"/>
      <c r="J21" s="117"/>
      <c r="K21" s="117">
        <f t="shared" si="2"/>
        <v>0</v>
      </c>
      <c r="L21" s="117"/>
      <c r="M21" s="50" t="s">
        <v>66</v>
      </c>
      <c r="N21" s="117"/>
      <c r="O21" s="117"/>
      <c r="Q21" s="117">
        <v>0</v>
      </c>
      <c r="R21" s="117"/>
      <c r="S21" s="117"/>
      <c r="T21" s="117"/>
      <c r="U21" s="117"/>
      <c r="V21" s="117"/>
      <c r="W21" s="117"/>
      <c r="X21" s="117"/>
      <c r="Y21" s="527"/>
      <c r="Z21" s="526"/>
      <c r="AA21" s="526"/>
    </row>
    <row r="22" spans="1:27" s="38" customFormat="1" ht="21" customHeight="1" x14ac:dyDescent="0.4">
      <c r="A22" s="204" t="s">
        <v>67</v>
      </c>
      <c r="B22" s="139">
        <v>379635</v>
      </c>
      <c r="C22" s="139"/>
      <c r="D22" s="139">
        <v>153218.31000000003</v>
      </c>
      <c r="E22" s="139">
        <v>0</v>
      </c>
      <c r="F22" s="117">
        <f t="shared" si="1"/>
        <v>532853.31000000006</v>
      </c>
      <c r="G22" s="139">
        <v>1090664.1599999999</v>
      </c>
      <c r="H22" s="139">
        <v>362430</v>
      </c>
      <c r="I22" s="139">
        <v>245926.65000000008</v>
      </c>
      <c r="J22" s="139">
        <v>0</v>
      </c>
      <c r="K22" s="117">
        <f t="shared" si="2"/>
        <v>1699020.81</v>
      </c>
      <c r="L22" s="182">
        <f t="shared" ref="L22:L39" si="5">SUM(F22+K22)</f>
        <v>2231874.12</v>
      </c>
      <c r="M22" s="204" t="s">
        <v>67</v>
      </c>
      <c r="N22" s="139">
        <v>384846.79</v>
      </c>
      <c r="O22" s="139">
        <v>0</v>
      </c>
      <c r="P22" s="139">
        <v>168378.74</v>
      </c>
      <c r="Q22" s="139">
        <v>0</v>
      </c>
      <c r="R22" s="117">
        <f t="shared" ref="R22:R39" si="6">SUM(N22:Q22)</f>
        <v>553225.53</v>
      </c>
      <c r="S22" s="139">
        <v>762838</v>
      </c>
      <c r="T22" s="139">
        <v>398370</v>
      </c>
      <c r="U22" s="139">
        <v>239261.35</v>
      </c>
      <c r="V22" s="139">
        <v>0</v>
      </c>
      <c r="W22" s="117">
        <f t="shared" ref="W22:W39" si="7">SUM(S22:V22)</f>
        <v>1400469.35</v>
      </c>
      <c r="X22" s="182">
        <f t="shared" ref="X22:X39" si="8">SUM(R22+W22)</f>
        <v>1953694.8800000001</v>
      </c>
      <c r="Y22" s="527">
        <f t="shared" ref="Y22:Y39" si="9">SUM((R22-F22)*100/F22)</f>
        <v>3.8232323263601327</v>
      </c>
      <c r="Z22" s="526">
        <f t="shared" ref="Z22:Z39" si="10">SUM((W22-K22)*100/K22)</f>
        <v>-17.5719719407086</v>
      </c>
      <c r="AA22" s="526">
        <f t="shared" ref="AA22:AA39" si="11">SUM((X22-L22)*100/L22)</f>
        <v>-12.463930537444467</v>
      </c>
    </row>
    <row r="23" spans="1:27" s="38" customFormat="1" ht="21" customHeight="1" x14ac:dyDescent="0.4">
      <c r="A23" s="204" t="s">
        <v>68</v>
      </c>
      <c r="B23" s="139">
        <v>777832.35</v>
      </c>
      <c r="C23" s="139">
        <v>83480</v>
      </c>
      <c r="D23" s="139">
        <v>52751.219999999987</v>
      </c>
      <c r="E23" s="139">
        <v>0</v>
      </c>
      <c r="F23" s="117">
        <f t="shared" si="1"/>
        <v>914063.57</v>
      </c>
      <c r="G23" s="139">
        <v>1230449.3899999999</v>
      </c>
      <c r="H23" s="139"/>
      <c r="I23" s="139">
        <v>157142.14000000001</v>
      </c>
      <c r="J23" s="139">
        <v>0</v>
      </c>
      <c r="K23" s="117">
        <f t="shared" si="2"/>
        <v>1387591.5299999998</v>
      </c>
      <c r="L23" s="182">
        <f t="shared" si="5"/>
        <v>2301655.0999999996</v>
      </c>
      <c r="M23" s="204" t="s">
        <v>68</v>
      </c>
      <c r="N23" s="139">
        <v>972742.08</v>
      </c>
      <c r="O23" s="139">
        <v>8200</v>
      </c>
      <c r="P23" s="139">
        <v>69550.19</v>
      </c>
      <c r="Q23" s="139">
        <v>355</v>
      </c>
      <c r="R23" s="117">
        <f t="shared" si="6"/>
        <v>1050847.27</v>
      </c>
      <c r="S23" s="139">
        <v>1288418.8400000001</v>
      </c>
      <c r="T23" s="139">
        <v>0</v>
      </c>
      <c r="U23" s="139">
        <v>156199.28</v>
      </c>
      <c r="V23" s="139">
        <v>0</v>
      </c>
      <c r="W23" s="117">
        <f t="shared" si="7"/>
        <v>1444618.12</v>
      </c>
      <c r="X23" s="182">
        <f t="shared" si="8"/>
        <v>2495465.39</v>
      </c>
      <c r="Y23" s="527">
        <f t="shared" si="9"/>
        <v>14.96435308104447</v>
      </c>
      <c r="Z23" s="526">
        <f t="shared" si="10"/>
        <v>4.109753394069819</v>
      </c>
      <c r="AA23" s="526">
        <f t="shared" si="11"/>
        <v>8.4204749008659263</v>
      </c>
    </row>
    <row r="24" spans="1:27" s="38" customFormat="1" ht="21" customHeight="1" x14ac:dyDescent="0.4">
      <c r="A24" s="204" t="s">
        <v>69</v>
      </c>
      <c r="B24" s="139">
        <v>1407797.62</v>
      </c>
      <c r="C24" s="139">
        <v>57078</v>
      </c>
      <c r="D24" s="139">
        <v>299485.62</v>
      </c>
      <c r="E24" s="139">
        <v>0</v>
      </c>
      <c r="F24" s="117">
        <f t="shared" si="1"/>
        <v>1764361.2400000002</v>
      </c>
      <c r="G24" s="139">
        <v>2803228.4699999997</v>
      </c>
      <c r="H24" s="139">
        <v>265240</v>
      </c>
      <c r="I24" s="139">
        <v>282034.11</v>
      </c>
      <c r="J24" s="139">
        <v>0</v>
      </c>
      <c r="K24" s="117">
        <f t="shared" si="2"/>
        <v>3350502.5799999996</v>
      </c>
      <c r="L24" s="182">
        <f t="shared" si="5"/>
        <v>5114863.82</v>
      </c>
      <c r="M24" s="204" t="s">
        <v>69</v>
      </c>
      <c r="N24" s="139">
        <v>1690880.41</v>
      </c>
      <c r="O24" s="139">
        <v>89766</v>
      </c>
      <c r="P24" s="139">
        <v>507120.08</v>
      </c>
      <c r="Q24" s="139">
        <v>0</v>
      </c>
      <c r="R24" s="117">
        <f t="shared" si="6"/>
        <v>2287766.4899999998</v>
      </c>
      <c r="S24" s="139">
        <v>1319114.28</v>
      </c>
      <c r="T24" s="139">
        <v>390380</v>
      </c>
      <c r="U24" s="139">
        <v>224435.38</v>
      </c>
      <c r="V24" s="139">
        <v>0</v>
      </c>
      <c r="W24" s="117">
        <f t="shared" si="7"/>
        <v>1933929.6600000001</v>
      </c>
      <c r="X24" s="182">
        <f t="shared" si="8"/>
        <v>4221696.1500000004</v>
      </c>
      <c r="Y24" s="527">
        <f t="shared" si="9"/>
        <v>29.665424411613095</v>
      </c>
      <c r="Z24" s="526">
        <f t="shared" si="10"/>
        <v>-42.279415883929858</v>
      </c>
      <c r="AA24" s="526">
        <f t="shared" si="11"/>
        <v>-17.462198436399426</v>
      </c>
    </row>
    <row r="25" spans="1:27" s="38" customFormat="1" ht="21" customHeight="1" x14ac:dyDescent="0.4">
      <c r="A25" s="204" t="s">
        <v>262</v>
      </c>
      <c r="B25" s="139">
        <v>263510.84999999998</v>
      </c>
      <c r="C25" s="139">
        <v>28695</v>
      </c>
      <c r="D25" s="139">
        <v>4242329.7099999972</v>
      </c>
      <c r="E25" s="139">
        <v>0</v>
      </c>
      <c r="F25" s="117">
        <f t="shared" si="1"/>
        <v>4534535.5599999968</v>
      </c>
      <c r="G25" s="139">
        <v>2945746.75</v>
      </c>
      <c r="H25" s="139">
        <v>54210</v>
      </c>
      <c r="I25" s="139">
        <v>50047.61</v>
      </c>
      <c r="J25" s="139">
        <v>0</v>
      </c>
      <c r="K25" s="117">
        <f t="shared" si="2"/>
        <v>3050004.36</v>
      </c>
      <c r="L25" s="182">
        <f t="shared" si="5"/>
        <v>7584539.9199999962</v>
      </c>
      <c r="M25" s="204" t="s">
        <v>262</v>
      </c>
      <c r="N25" s="139">
        <v>2868887.95</v>
      </c>
      <c r="O25" s="139">
        <v>30140</v>
      </c>
      <c r="P25" s="139">
        <v>594009.4</v>
      </c>
      <c r="Q25" s="139">
        <v>0</v>
      </c>
      <c r="R25" s="117">
        <f t="shared" si="6"/>
        <v>3493037.35</v>
      </c>
      <c r="S25" s="139">
        <v>1477066.1</v>
      </c>
      <c r="T25" s="139">
        <v>15890</v>
      </c>
      <c r="U25" s="139">
        <v>53183.42</v>
      </c>
      <c r="V25" s="139">
        <v>0</v>
      </c>
      <c r="W25" s="117">
        <f t="shared" si="7"/>
        <v>1546139.52</v>
      </c>
      <c r="X25" s="182">
        <f t="shared" si="8"/>
        <v>5039176.87</v>
      </c>
      <c r="Y25" s="527">
        <f t="shared" si="9"/>
        <v>-22.968134138967862</v>
      </c>
      <c r="Z25" s="526">
        <f t="shared" si="10"/>
        <v>-49.306973449703527</v>
      </c>
      <c r="AA25" s="526">
        <f t="shared" si="11"/>
        <v>-33.559887308233684</v>
      </c>
    </row>
    <row r="26" spans="1:27" s="38" customFormat="1" ht="21" customHeight="1" x14ac:dyDescent="0.4">
      <c r="A26" s="204" t="s">
        <v>71</v>
      </c>
      <c r="B26" s="139">
        <v>693726.81</v>
      </c>
      <c r="C26" s="139">
        <v>94056.25</v>
      </c>
      <c r="D26" s="139">
        <v>130009.39</v>
      </c>
      <c r="E26" s="139"/>
      <c r="F26" s="117">
        <f t="shared" si="1"/>
        <v>917792.45000000007</v>
      </c>
      <c r="G26" s="139">
        <v>10097905.310000002</v>
      </c>
      <c r="H26" s="139">
        <v>8930</v>
      </c>
      <c r="I26" s="139">
        <v>75029.78</v>
      </c>
      <c r="J26" s="139">
        <v>0</v>
      </c>
      <c r="K26" s="117">
        <f t="shared" si="2"/>
        <v>10181865.090000002</v>
      </c>
      <c r="L26" s="182">
        <f t="shared" si="5"/>
        <v>11099657.540000001</v>
      </c>
      <c r="M26" s="204" t="s">
        <v>71</v>
      </c>
      <c r="N26" s="139">
        <v>3567558.15</v>
      </c>
      <c r="O26" s="139">
        <v>96326.75</v>
      </c>
      <c r="P26" s="139">
        <v>116845.46</v>
      </c>
      <c r="Q26" s="139">
        <v>1285</v>
      </c>
      <c r="R26" s="117">
        <f t="shared" si="6"/>
        <v>3782015.36</v>
      </c>
      <c r="S26" s="139">
        <v>7811673.04</v>
      </c>
      <c r="T26" s="139">
        <v>31480</v>
      </c>
      <c r="U26" s="139">
        <v>51972.25</v>
      </c>
      <c r="V26" s="139">
        <v>0</v>
      </c>
      <c r="W26" s="117">
        <f t="shared" si="7"/>
        <v>7895125.29</v>
      </c>
      <c r="X26" s="182">
        <f t="shared" si="8"/>
        <v>11677140.65</v>
      </c>
      <c r="Y26" s="527">
        <f t="shared" si="9"/>
        <v>312.07741031210259</v>
      </c>
      <c r="Z26" s="526">
        <f t="shared" si="10"/>
        <v>-22.458948137565642</v>
      </c>
      <c r="AA26" s="526">
        <f t="shared" si="11"/>
        <v>5.2027110558944267</v>
      </c>
    </row>
    <row r="27" spans="1:27" s="38" customFormat="1" ht="21" customHeight="1" x14ac:dyDescent="0.4">
      <c r="A27" s="204" t="s">
        <v>72</v>
      </c>
      <c r="B27" s="139">
        <v>36908056.969999999</v>
      </c>
      <c r="C27" s="139">
        <v>134537.5</v>
      </c>
      <c r="D27" s="139">
        <v>116176.93999999997</v>
      </c>
      <c r="E27" s="139">
        <v>1245700</v>
      </c>
      <c r="F27" s="117">
        <f t="shared" si="1"/>
        <v>38404471.409999996</v>
      </c>
      <c r="G27" s="139">
        <v>40256796.82</v>
      </c>
      <c r="H27" s="139">
        <v>403360</v>
      </c>
      <c r="I27" s="139">
        <v>260948.16999999998</v>
      </c>
      <c r="J27" s="139">
        <v>1116899.75</v>
      </c>
      <c r="K27" s="117">
        <f t="shared" si="2"/>
        <v>42038004.740000002</v>
      </c>
      <c r="L27" s="182">
        <f t="shared" si="5"/>
        <v>80442476.150000006</v>
      </c>
      <c r="M27" s="204" t="s">
        <v>72</v>
      </c>
      <c r="N27" s="139">
        <v>133556946.43000001</v>
      </c>
      <c r="O27" s="139">
        <v>100223</v>
      </c>
      <c r="P27" s="139">
        <v>3609911.34</v>
      </c>
      <c r="Q27" s="139">
        <v>33161209.539999999</v>
      </c>
      <c r="R27" s="117">
        <f t="shared" si="6"/>
        <v>170428290.31</v>
      </c>
      <c r="S27" s="139">
        <v>45259346.960000001</v>
      </c>
      <c r="T27" s="139">
        <v>432480</v>
      </c>
      <c r="U27" s="139">
        <v>240587.46</v>
      </c>
      <c r="V27" s="139">
        <v>1282315.5</v>
      </c>
      <c r="W27" s="117">
        <f t="shared" si="7"/>
        <v>47214729.920000002</v>
      </c>
      <c r="X27" s="182">
        <f t="shared" si="8"/>
        <v>217643020.23000002</v>
      </c>
      <c r="Y27" s="527">
        <f t="shared" si="9"/>
        <v>343.77199855333203</v>
      </c>
      <c r="Z27" s="526">
        <f t="shared" si="10"/>
        <v>12.314393159279138</v>
      </c>
      <c r="AA27" s="526">
        <f t="shared" si="11"/>
        <v>170.55733568440138</v>
      </c>
    </row>
    <row r="28" spans="1:27" s="38" customFormat="1" ht="21" customHeight="1" x14ac:dyDescent="0.4">
      <c r="A28" s="204" t="s">
        <v>73</v>
      </c>
      <c r="B28" s="139">
        <v>14346374.390000001</v>
      </c>
      <c r="C28" s="139">
        <v>369159</v>
      </c>
      <c r="D28" s="139">
        <v>1197436.5399999998</v>
      </c>
      <c r="E28" s="139">
        <v>0</v>
      </c>
      <c r="F28" s="117">
        <f t="shared" si="1"/>
        <v>15912969.93</v>
      </c>
      <c r="G28" s="139">
        <v>11229571.01</v>
      </c>
      <c r="H28" s="139">
        <v>113360</v>
      </c>
      <c r="I28" s="139">
        <v>252468.43000000005</v>
      </c>
      <c r="J28" s="139">
        <v>0</v>
      </c>
      <c r="K28" s="117">
        <f t="shared" si="2"/>
        <v>11595399.439999999</v>
      </c>
      <c r="L28" s="182">
        <f t="shared" si="5"/>
        <v>27508369.369999997</v>
      </c>
      <c r="M28" s="204" t="s">
        <v>73</v>
      </c>
      <c r="N28" s="139">
        <v>3573548.24</v>
      </c>
      <c r="O28" s="139">
        <v>196903.75</v>
      </c>
      <c r="P28" s="139">
        <v>1125686.83</v>
      </c>
      <c r="Q28" s="139">
        <v>0</v>
      </c>
      <c r="R28" s="117">
        <f t="shared" si="6"/>
        <v>4896138.82</v>
      </c>
      <c r="S28" s="139">
        <v>4492811.66</v>
      </c>
      <c r="T28" s="139">
        <v>47520</v>
      </c>
      <c r="U28" s="139">
        <v>205704.46</v>
      </c>
      <c r="V28" s="139">
        <v>0</v>
      </c>
      <c r="W28" s="117">
        <f t="shared" si="7"/>
        <v>4746036.12</v>
      </c>
      <c r="X28" s="182">
        <f t="shared" si="8"/>
        <v>9642174.9400000013</v>
      </c>
      <c r="Y28" s="527">
        <f t="shared" si="9"/>
        <v>-69.231772311908088</v>
      </c>
      <c r="Z28" s="526">
        <f t="shared" si="10"/>
        <v>-59.069662545406878</v>
      </c>
      <c r="AA28" s="526">
        <f t="shared" si="11"/>
        <v>-64.948213358965802</v>
      </c>
    </row>
    <row r="29" spans="1:27" ht="21" customHeight="1" x14ac:dyDescent="0.4">
      <c r="A29" s="204" t="s">
        <v>116</v>
      </c>
      <c r="B29" s="201">
        <v>787292</v>
      </c>
      <c r="C29" s="139">
        <v>52452.5</v>
      </c>
      <c r="D29" s="139">
        <v>131520.72999999995</v>
      </c>
      <c r="E29" s="139">
        <v>0</v>
      </c>
      <c r="F29" s="117">
        <f t="shared" si="1"/>
        <v>971265.23</v>
      </c>
      <c r="G29" s="139">
        <v>1059023.0699999998</v>
      </c>
      <c r="H29" s="139">
        <v>94360</v>
      </c>
      <c r="I29" s="139">
        <v>139077.79999999999</v>
      </c>
      <c r="J29" s="139">
        <v>0</v>
      </c>
      <c r="K29" s="117">
        <f t="shared" si="2"/>
        <v>1292460.8699999999</v>
      </c>
      <c r="L29" s="182">
        <f t="shared" si="5"/>
        <v>2263726.0999999996</v>
      </c>
      <c r="M29" s="204" t="s">
        <v>116</v>
      </c>
      <c r="N29" s="201">
        <v>55019.6</v>
      </c>
      <c r="O29" s="139">
        <v>60711.5</v>
      </c>
      <c r="P29" s="139">
        <v>91298.32</v>
      </c>
      <c r="Q29" s="139">
        <v>20319.75</v>
      </c>
      <c r="R29" s="117">
        <f t="shared" si="6"/>
        <v>227349.17</v>
      </c>
      <c r="S29" s="139">
        <v>1117044.93</v>
      </c>
      <c r="T29" s="139">
        <v>227610</v>
      </c>
      <c r="U29" s="139">
        <v>109041.52</v>
      </c>
      <c r="V29" s="139">
        <v>0</v>
      </c>
      <c r="W29" s="117">
        <f t="shared" si="7"/>
        <v>1453696.45</v>
      </c>
      <c r="X29" s="182">
        <f t="shared" si="8"/>
        <v>1681045.6199999999</v>
      </c>
      <c r="Y29" s="527">
        <f t="shared" si="9"/>
        <v>-76.592473098208202</v>
      </c>
      <c r="Z29" s="526">
        <f t="shared" si="10"/>
        <v>12.475084061925998</v>
      </c>
      <c r="AA29" s="526">
        <f t="shared" si="11"/>
        <v>-25.739884343781693</v>
      </c>
    </row>
    <row r="30" spans="1:27" ht="21" customHeight="1" x14ac:dyDescent="0.4">
      <c r="A30" s="204" t="s">
        <v>117</v>
      </c>
      <c r="B30" s="139">
        <v>1064144.1499999999</v>
      </c>
      <c r="C30" s="139">
        <v>119541.75</v>
      </c>
      <c r="D30" s="139">
        <v>189925.31999999992</v>
      </c>
      <c r="E30" s="139">
        <v>0</v>
      </c>
      <c r="F30" s="117">
        <f t="shared" si="1"/>
        <v>1373611.2199999997</v>
      </c>
      <c r="G30" s="139">
        <v>9302878.2799999993</v>
      </c>
      <c r="H30" s="139">
        <v>113020</v>
      </c>
      <c r="I30" s="139">
        <v>142108.76</v>
      </c>
      <c r="J30" s="139">
        <v>0</v>
      </c>
      <c r="K30" s="117">
        <f>SUM(G30:J30)</f>
        <v>9558007.0399999991</v>
      </c>
      <c r="L30" s="182">
        <f t="shared" si="5"/>
        <v>10931618.259999998</v>
      </c>
      <c r="M30" s="204" t="s">
        <v>117</v>
      </c>
      <c r="N30" s="139">
        <v>625322.6</v>
      </c>
      <c r="O30" s="139">
        <v>117772</v>
      </c>
      <c r="P30" s="139">
        <v>193100.96</v>
      </c>
      <c r="Q30" s="139">
        <v>0</v>
      </c>
      <c r="R30" s="117">
        <f t="shared" si="6"/>
        <v>936195.55999999994</v>
      </c>
      <c r="S30" s="139">
        <v>5405685.9400000004</v>
      </c>
      <c r="T30" s="139">
        <v>54340</v>
      </c>
      <c r="U30" s="139">
        <v>160216.48000000001</v>
      </c>
      <c r="V30" s="139">
        <v>0</v>
      </c>
      <c r="W30" s="117">
        <f t="shared" si="7"/>
        <v>5620242.4200000009</v>
      </c>
      <c r="X30" s="182">
        <f t="shared" si="8"/>
        <v>6556437.9800000004</v>
      </c>
      <c r="Y30" s="527">
        <f t="shared" si="9"/>
        <v>-31.84421134824451</v>
      </c>
      <c r="Z30" s="526">
        <f t="shared" si="10"/>
        <v>-41.198595099590953</v>
      </c>
      <c r="AA30" s="526">
        <f t="shared" si="11"/>
        <v>-40.023171098182843</v>
      </c>
    </row>
    <row r="31" spans="1:27" ht="21" customHeight="1" x14ac:dyDescent="0.4">
      <c r="A31" s="204" t="s">
        <v>74</v>
      </c>
      <c r="B31" s="139">
        <v>642750</v>
      </c>
      <c r="C31" s="139">
        <v>15132.5</v>
      </c>
      <c r="D31" s="139">
        <v>23603.18</v>
      </c>
      <c r="E31" s="139">
        <v>0</v>
      </c>
      <c r="F31" s="117">
        <f t="shared" si="1"/>
        <v>681485.68</v>
      </c>
      <c r="G31" s="139">
        <v>377652.25000000006</v>
      </c>
      <c r="H31" s="139">
        <v>0</v>
      </c>
      <c r="I31" s="139">
        <v>56376.97</v>
      </c>
      <c r="J31" s="139">
        <v>0</v>
      </c>
      <c r="K31" s="117">
        <f t="shared" si="2"/>
        <v>434029.22000000009</v>
      </c>
      <c r="L31" s="182">
        <f t="shared" si="5"/>
        <v>1115514.9000000001</v>
      </c>
      <c r="M31" s="204" t="s">
        <v>74</v>
      </c>
      <c r="N31" s="139">
        <v>380983.55</v>
      </c>
      <c r="O31" s="139">
        <v>9134</v>
      </c>
      <c r="P31" s="139">
        <v>20412.759999999998</v>
      </c>
      <c r="Q31" s="139">
        <v>0</v>
      </c>
      <c r="R31" s="117">
        <f t="shared" si="6"/>
        <v>410530.31</v>
      </c>
      <c r="S31" s="139">
        <v>482278.62</v>
      </c>
      <c r="T31" s="139">
        <v>16020</v>
      </c>
      <c r="U31" s="139">
        <v>57777.71</v>
      </c>
      <c r="V31" s="139">
        <v>0</v>
      </c>
      <c r="W31" s="117">
        <f t="shared" si="7"/>
        <v>556076.32999999996</v>
      </c>
      <c r="X31" s="182">
        <f t="shared" si="8"/>
        <v>966606.6399999999</v>
      </c>
      <c r="Y31" s="527">
        <f t="shared" si="9"/>
        <v>-39.759510427277064</v>
      </c>
      <c r="Z31" s="526">
        <f t="shared" si="10"/>
        <v>28.119560706074086</v>
      </c>
      <c r="AA31" s="526">
        <f t="shared" si="11"/>
        <v>-13.348836487975214</v>
      </c>
    </row>
    <row r="32" spans="1:27" ht="21" customHeight="1" x14ac:dyDescent="0.4">
      <c r="A32" s="204" t="s">
        <v>75</v>
      </c>
      <c r="B32" s="139">
        <v>4287963</v>
      </c>
      <c r="C32" s="139">
        <v>4475</v>
      </c>
      <c r="D32" s="139">
        <v>59991.050000000017</v>
      </c>
      <c r="E32" s="139">
        <v>0</v>
      </c>
      <c r="F32" s="117">
        <f t="shared" si="1"/>
        <v>4352429.05</v>
      </c>
      <c r="G32" s="139">
        <v>4685138.2</v>
      </c>
      <c r="H32" s="139">
        <v>213130</v>
      </c>
      <c r="I32" s="139">
        <v>80300.94</v>
      </c>
      <c r="J32" s="139">
        <v>0</v>
      </c>
      <c r="K32" s="117">
        <f t="shared" si="2"/>
        <v>4978569.1400000006</v>
      </c>
      <c r="L32" s="182">
        <f t="shared" si="5"/>
        <v>9330998.1900000013</v>
      </c>
      <c r="M32" s="204" t="s">
        <v>75</v>
      </c>
      <c r="N32" s="139">
        <v>1413112</v>
      </c>
      <c r="O32" s="139">
        <v>0</v>
      </c>
      <c r="P32" s="139">
        <v>66962.23</v>
      </c>
      <c r="Q32" s="139">
        <v>0</v>
      </c>
      <c r="R32" s="117">
        <f t="shared" si="6"/>
        <v>1480074.23</v>
      </c>
      <c r="S32" s="139">
        <v>1666645.72</v>
      </c>
      <c r="T32" s="139">
        <v>114330</v>
      </c>
      <c r="U32" s="139">
        <v>40777</v>
      </c>
      <c r="V32" s="139">
        <v>0</v>
      </c>
      <c r="W32" s="117">
        <f t="shared" si="7"/>
        <v>1821752.72</v>
      </c>
      <c r="X32" s="182">
        <f t="shared" si="8"/>
        <v>3301826.95</v>
      </c>
      <c r="Y32" s="527">
        <f t="shared" si="9"/>
        <v>-65.994293921919308</v>
      </c>
      <c r="Z32" s="526">
        <f t="shared" si="10"/>
        <v>-63.408106450440904</v>
      </c>
      <c r="AA32" s="526">
        <f t="shared" si="11"/>
        <v>-64.614429423654201</v>
      </c>
    </row>
    <row r="33" spans="1:27" ht="21" customHeight="1" x14ac:dyDescent="0.4">
      <c r="A33" s="204" t="s">
        <v>271</v>
      </c>
      <c r="B33" s="139">
        <v>783587.47</v>
      </c>
      <c r="C33" s="139">
        <v>72593.75</v>
      </c>
      <c r="D33" s="139">
        <v>157423.07999999999</v>
      </c>
      <c r="E33" s="139">
        <v>0</v>
      </c>
      <c r="F33" s="117">
        <f t="shared" si="1"/>
        <v>1013604.2999999999</v>
      </c>
      <c r="G33" s="139">
        <v>2835742.36</v>
      </c>
      <c r="H33" s="139">
        <v>113910</v>
      </c>
      <c r="I33" s="139">
        <v>183647.1</v>
      </c>
      <c r="J33" s="139">
        <v>0</v>
      </c>
      <c r="K33" s="117">
        <f t="shared" si="2"/>
        <v>3133299.46</v>
      </c>
      <c r="L33" s="182">
        <f t="shared" si="5"/>
        <v>4146903.76</v>
      </c>
      <c r="M33" s="204" t="s">
        <v>271</v>
      </c>
      <c r="N33" s="139">
        <v>655296.43000000005</v>
      </c>
      <c r="O33" s="139">
        <v>36262.25</v>
      </c>
      <c r="P33" s="139">
        <v>270203.27</v>
      </c>
      <c r="Q33" s="139">
        <v>0</v>
      </c>
      <c r="R33" s="117">
        <f t="shared" si="6"/>
        <v>961761.95000000007</v>
      </c>
      <c r="S33" s="139">
        <v>2465843.9500000002</v>
      </c>
      <c r="T33" s="139">
        <v>9830</v>
      </c>
      <c r="U33" s="139">
        <v>139190.32999999999</v>
      </c>
      <c r="V33" s="139">
        <v>0</v>
      </c>
      <c r="W33" s="117">
        <f t="shared" si="7"/>
        <v>2614864.2800000003</v>
      </c>
      <c r="X33" s="182">
        <f t="shared" si="8"/>
        <v>3576626.2300000004</v>
      </c>
      <c r="Y33" s="527">
        <f t="shared" si="9"/>
        <v>-5.1146537164453489</v>
      </c>
      <c r="Z33" s="526">
        <f t="shared" si="10"/>
        <v>-16.545982489653245</v>
      </c>
      <c r="AA33" s="526">
        <f t="shared" si="11"/>
        <v>-13.751887263474842</v>
      </c>
    </row>
    <row r="34" spans="1:27" ht="21" customHeight="1" x14ac:dyDescent="0.4">
      <c r="A34" s="204" t="s">
        <v>273</v>
      </c>
      <c r="B34" s="139">
        <v>6090</v>
      </c>
      <c r="C34" s="139">
        <v>8000</v>
      </c>
      <c r="D34" s="139">
        <v>19359.060000000005</v>
      </c>
      <c r="E34" s="139">
        <v>0</v>
      </c>
      <c r="F34" s="117">
        <f t="shared" si="1"/>
        <v>33449.060000000005</v>
      </c>
      <c r="G34" s="139">
        <v>1628975.5499999998</v>
      </c>
      <c r="H34" s="139">
        <v>4790</v>
      </c>
      <c r="I34" s="139">
        <v>21618.819999999996</v>
      </c>
      <c r="J34" s="139">
        <v>0</v>
      </c>
      <c r="K34" s="117">
        <f t="shared" si="2"/>
        <v>1655384.3699999999</v>
      </c>
      <c r="L34" s="182">
        <f t="shared" si="5"/>
        <v>1688833.43</v>
      </c>
      <c r="M34" s="204" t="s">
        <v>263</v>
      </c>
      <c r="N34" s="139">
        <v>75179</v>
      </c>
      <c r="O34" s="139">
        <v>15969</v>
      </c>
      <c r="P34" s="139">
        <v>15702.99</v>
      </c>
      <c r="Q34" s="139">
        <v>0</v>
      </c>
      <c r="R34" s="117">
        <f t="shared" si="6"/>
        <v>106850.99</v>
      </c>
      <c r="S34" s="139">
        <v>1216206.82</v>
      </c>
      <c r="T34" s="139">
        <v>0</v>
      </c>
      <c r="U34" s="139">
        <v>24644.25</v>
      </c>
      <c r="V34" s="139">
        <v>0</v>
      </c>
      <c r="W34" s="117">
        <f t="shared" si="7"/>
        <v>1240851.07</v>
      </c>
      <c r="X34" s="182">
        <f t="shared" si="8"/>
        <v>1347702.06</v>
      </c>
      <c r="Y34" s="527">
        <f t="shared" si="9"/>
        <v>219.44392458263394</v>
      </c>
      <c r="Z34" s="526">
        <f t="shared" si="10"/>
        <v>-25.04151347037304</v>
      </c>
      <c r="AA34" s="526">
        <f t="shared" si="11"/>
        <v>-20.199231252782571</v>
      </c>
    </row>
    <row r="35" spans="1:27" ht="21" customHeight="1" x14ac:dyDescent="0.4">
      <c r="A35" s="204" t="s">
        <v>80</v>
      </c>
      <c r="B35" s="139">
        <v>331280</v>
      </c>
      <c r="C35" s="139">
        <v>16305</v>
      </c>
      <c r="D35" s="139">
        <v>19739.09</v>
      </c>
      <c r="E35" s="139">
        <v>0</v>
      </c>
      <c r="F35" s="117">
        <f t="shared" si="1"/>
        <v>367324.09</v>
      </c>
      <c r="G35" s="139">
        <v>877844.64</v>
      </c>
      <c r="H35" s="139">
        <v>7830</v>
      </c>
      <c r="I35" s="139">
        <v>16692.449999999997</v>
      </c>
      <c r="J35" s="139">
        <v>0</v>
      </c>
      <c r="K35" s="117">
        <f t="shared" si="2"/>
        <v>902367.09</v>
      </c>
      <c r="L35" s="182">
        <f t="shared" si="5"/>
        <v>1269691.18</v>
      </c>
      <c r="M35" s="204" t="s">
        <v>264</v>
      </c>
      <c r="N35" s="139">
        <v>325684</v>
      </c>
      <c r="O35" s="139">
        <v>36710</v>
      </c>
      <c r="P35" s="139">
        <v>22923.82</v>
      </c>
      <c r="Q35" s="139">
        <v>0</v>
      </c>
      <c r="R35" s="117">
        <f t="shared" si="6"/>
        <v>385317.82</v>
      </c>
      <c r="S35" s="139">
        <v>285934.61</v>
      </c>
      <c r="T35" s="139">
        <v>17680</v>
      </c>
      <c r="U35" s="139">
        <v>16382.83</v>
      </c>
      <c r="V35" s="139">
        <v>0</v>
      </c>
      <c r="W35" s="117">
        <f t="shared" si="7"/>
        <v>319997.44</v>
      </c>
      <c r="X35" s="182">
        <f t="shared" si="8"/>
        <v>705315.26</v>
      </c>
      <c r="Y35" s="527">
        <f t="shared" si="9"/>
        <v>4.8985978567319064</v>
      </c>
      <c r="Z35" s="526">
        <f t="shared" si="10"/>
        <v>-64.537997501659774</v>
      </c>
      <c r="AA35" s="526">
        <f t="shared" si="11"/>
        <v>-44.449857484242742</v>
      </c>
    </row>
    <row r="36" spans="1:27" ht="21" customHeight="1" x14ac:dyDescent="0.4">
      <c r="A36" s="204" t="s">
        <v>81</v>
      </c>
      <c r="B36" s="139">
        <v>307727.15999999997</v>
      </c>
      <c r="C36" s="139">
        <v>2520</v>
      </c>
      <c r="D36" s="139">
        <v>24671.559999999998</v>
      </c>
      <c r="E36" s="139">
        <v>0</v>
      </c>
      <c r="F36" s="117">
        <f>SUM(B36:E36)</f>
        <v>334918.71999999997</v>
      </c>
      <c r="G36" s="139">
        <v>1726400.21</v>
      </c>
      <c r="H36" s="139">
        <v>1760</v>
      </c>
      <c r="I36" s="139">
        <v>24000.350000000002</v>
      </c>
      <c r="J36" s="139">
        <v>0</v>
      </c>
      <c r="K36" s="117">
        <f t="shared" si="2"/>
        <v>1752160.56</v>
      </c>
      <c r="L36" s="182">
        <f t="shared" si="5"/>
        <v>2087079.28</v>
      </c>
      <c r="M36" s="204" t="s">
        <v>265</v>
      </c>
      <c r="N36" s="139">
        <v>328850.09999999998</v>
      </c>
      <c r="O36" s="139">
        <v>13186</v>
      </c>
      <c r="P36" s="139">
        <v>20851.11</v>
      </c>
      <c r="Q36" s="139">
        <v>0</v>
      </c>
      <c r="R36" s="117">
        <f t="shared" si="6"/>
        <v>362887.20999999996</v>
      </c>
      <c r="S36" s="139">
        <v>520411.07</v>
      </c>
      <c r="T36" s="139">
        <v>2200</v>
      </c>
      <c r="U36" s="139">
        <v>21290.69</v>
      </c>
      <c r="V36" s="139">
        <v>0</v>
      </c>
      <c r="W36" s="117">
        <f t="shared" si="7"/>
        <v>543901.76</v>
      </c>
      <c r="X36" s="182">
        <f t="shared" si="8"/>
        <v>906788.97</v>
      </c>
      <c r="Y36" s="527">
        <f t="shared" si="9"/>
        <v>8.3508291205699088</v>
      </c>
      <c r="Z36" s="526">
        <f t="shared" si="10"/>
        <v>-68.958223782870675</v>
      </c>
      <c r="AA36" s="526">
        <f t="shared" si="11"/>
        <v>-56.552250856517531</v>
      </c>
    </row>
    <row r="37" spans="1:27" ht="21" customHeight="1" x14ac:dyDescent="0.4">
      <c r="A37" s="205" t="s">
        <v>76</v>
      </c>
      <c r="B37" s="139">
        <v>751330</v>
      </c>
      <c r="C37" s="139">
        <v>37861</v>
      </c>
      <c r="D37" s="139">
        <v>324595.09000000008</v>
      </c>
      <c r="E37" s="139">
        <v>0</v>
      </c>
      <c r="F37" s="117">
        <f t="shared" si="1"/>
        <v>1113786.0900000001</v>
      </c>
      <c r="G37" s="139">
        <v>835147.30999999994</v>
      </c>
      <c r="H37" s="139">
        <v>0</v>
      </c>
      <c r="I37" s="139">
        <v>20557.609999999997</v>
      </c>
      <c r="J37" s="139">
        <v>0</v>
      </c>
      <c r="K37" s="117">
        <f t="shared" si="2"/>
        <v>855704.91999999993</v>
      </c>
      <c r="L37" s="182">
        <f t="shared" si="5"/>
        <v>1969491.01</v>
      </c>
      <c r="M37" s="205" t="s">
        <v>266</v>
      </c>
      <c r="N37" s="139">
        <v>1933385.8</v>
      </c>
      <c r="O37" s="139">
        <v>48317</v>
      </c>
      <c r="P37" s="139">
        <v>1018114.43</v>
      </c>
      <c r="Q37" s="139">
        <v>0</v>
      </c>
      <c r="R37" s="117">
        <f t="shared" si="6"/>
        <v>2999817.23</v>
      </c>
      <c r="S37" s="139">
        <v>348478.11</v>
      </c>
      <c r="T37" s="139">
        <v>0</v>
      </c>
      <c r="U37" s="139">
        <v>20704.97</v>
      </c>
      <c r="V37" s="139">
        <v>0</v>
      </c>
      <c r="W37" s="117">
        <f>SUM(S37:V37)</f>
        <v>369183.07999999996</v>
      </c>
      <c r="X37" s="182">
        <f t="shared" si="8"/>
        <v>3369000.31</v>
      </c>
      <c r="Y37" s="527">
        <f t="shared" si="9"/>
        <v>169.33513148830937</v>
      </c>
      <c r="Z37" s="526">
        <f t="shared" si="10"/>
        <v>-56.856263021135845</v>
      </c>
      <c r="AA37" s="526">
        <f t="shared" si="11"/>
        <v>71.059440885693604</v>
      </c>
    </row>
    <row r="38" spans="1:27" ht="21" customHeight="1" x14ac:dyDescent="0.4">
      <c r="A38" s="205" t="s">
        <v>274</v>
      </c>
      <c r="B38" s="139">
        <v>1995946</v>
      </c>
      <c r="C38" s="139">
        <v>44301.75</v>
      </c>
      <c r="D38" s="139">
        <v>1124764.0299999998</v>
      </c>
      <c r="E38" s="139">
        <v>0</v>
      </c>
      <c r="F38" s="117">
        <f t="shared" si="1"/>
        <v>3165011.78</v>
      </c>
      <c r="G38" s="139">
        <v>3434269.3800000004</v>
      </c>
      <c r="H38" s="139"/>
      <c r="I38" s="139">
        <v>23776.68</v>
      </c>
      <c r="J38" s="139">
        <v>0</v>
      </c>
      <c r="K38" s="117">
        <f t="shared" si="2"/>
        <v>3458046.0600000005</v>
      </c>
      <c r="L38" s="182">
        <f t="shared" si="5"/>
        <v>6623057.8399999999</v>
      </c>
      <c r="M38" s="205" t="s">
        <v>267</v>
      </c>
      <c r="N38" s="139">
        <v>2633675.7000000002</v>
      </c>
      <c r="O38" s="139">
        <v>79150</v>
      </c>
      <c r="P38" s="139">
        <v>2661445.4</v>
      </c>
      <c r="Q38" s="139">
        <v>0</v>
      </c>
      <c r="R38" s="117">
        <f t="shared" si="6"/>
        <v>5374271.0999999996</v>
      </c>
      <c r="S38" s="139">
        <v>3936471.15</v>
      </c>
      <c r="T38" s="139">
        <v>0</v>
      </c>
      <c r="U38" s="139">
        <v>18253.8</v>
      </c>
      <c r="V38" s="139">
        <v>0</v>
      </c>
      <c r="W38" s="117">
        <f t="shared" si="7"/>
        <v>3954724.9499999997</v>
      </c>
      <c r="X38" s="182">
        <f t="shared" si="8"/>
        <v>9328996.0499999989</v>
      </c>
      <c r="Y38" s="527">
        <f t="shared" si="9"/>
        <v>69.802562314633775</v>
      </c>
      <c r="Z38" s="526">
        <f t="shared" si="10"/>
        <v>14.362992319425587</v>
      </c>
      <c r="AA38" s="526">
        <f t="shared" si="11"/>
        <v>40.856327626454778</v>
      </c>
    </row>
    <row r="39" spans="1:27" ht="21" customHeight="1" x14ac:dyDescent="0.4">
      <c r="A39" s="205" t="s">
        <v>83</v>
      </c>
      <c r="B39" s="139">
        <v>5526304.5</v>
      </c>
      <c r="C39" s="139">
        <v>148890</v>
      </c>
      <c r="D39" s="139">
        <v>132555.5</v>
      </c>
      <c r="E39" s="139"/>
      <c r="F39" s="117">
        <f t="shared" si="1"/>
        <v>5807750</v>
      </c>
      <c r="G39" s="139">
        <v>12237373.199999999</v>
      </c>
      <c r="H39" s="139">
        <v>4070</v>
      </c>
      <c r="I39" s="139">
        <v>19439.220000000005</v>
      </c>
      <c r="J39" s="139"/>
      <c r="K39" s="117">
        <f t="shared" si="2"/>
        <v>12260882.42</v>
      </c>
      <c r="L39" s="182">
        <f t="shared" si="5"/>
        <v>18068632.420000002</v>
      </c>
      <c r="M39" s="205" t="s">
        <v>268</v>
      </c>
      <c r="N39" s="139">
        <v>17838545.420000002</v>
      </c>
      <c r="O39" s="139">
        <v>1986</v>
      </c>
      <c r="P39" s="139">
        <v>198436.34</v>
      </c>
      <c r="Q39" s="139">
        <v>0</v>
      </c>
      <c r="R39" s="117">
        <f t="shared" si="6"/>
        <v>18038967.760000002</v>
      </c>
      <c r="S39" s="139">
        <v>1180568.58</v>
      </c>
      <c r="T39" s="139">
        <v>207950</v>
      </c>
      <c r="U39" s="139">
        <v>0</v>
      </c>
      <c r="V39" s="139">
        <v>0</v>
      </c>
      <c r="W39" s="117">
        <f t="shared" si="7"/>
        <v>1388518.58</v>
      </c>
      <c r="X39" s="182">
        <f t="shared" si="8"/>
        <v>19427486.340000004</v>
      </c>
      <c r="Y39" s="527">
        <f t="shared" si="9"/>
        <v>210.60165744048905</v>
      </c>
      <c r="Z39" s="526">
        <f t="shared" si="10"/>
        <v>-88.675214944276419</v>
      </c>
      <c r="AA39" s="526">
        <f t="shared" si="11"/>
        <v>7.5205133870336471</v>
      </c>
    </row>
    <row r="40" spans="1:27" s="38" customFormat="1" ht="21" customHeight="1" thickBot="1" x14ac:dyDescent="0.45">
      <c r="A40" s="206" t="s">
        <v>17</v>
      </c>
      <c r="B40" s="207">
        <f t="shared" ref="B40:L40" si="12">SUM(B16:B39)</f>
        <v>266240002.05999997</v>
      </c>
      <c r="C40" s="207">
        <f t="shared" si="12"/>
        <v>16276447.340000002</v>
      </c>
      <c r="D40" s="207">
        <f t="shared" si="12"/>
        <v>260056614.46999988</v>
      </c>
      <c r="E40" s="207">
        <f t="shared" si="12"/>
        <v>34771894.830000006</v>
      </c>
      <c r="F40" s="207">
        <f t="shared" si="12"/>
        <v>577344958.69999969</v>
      </c>
      <c r="G40" s="207">
        <f t="shared" si="12"/>
        <v>635851685.29999983</v>
      </c>
      <c r="H40" s="207">
        <f t="shared" si="12"/>
        <v>10051575.470000001</v>
      </c>
      <c r="I40" s="207">
        <f t="shared" si="12"/>
        <v>61397873.200000018</v>
      </c>
      <c r="J40" s="207">
        <f t="shared" si="12"/>
        <v>31166437.25</v>
      </c>
      <c r="K40" s="207">
        <f t="shared" si="12"/>
        <v>738467571.21999967</v>
      </c>
      <c r="L40" s="207">
        <f t="shared" si="12"/>
        <v>1315812529.9199994</v>
      </c>
      <c r="M40" s="206" t="s">
        <v>17</v>
      </c>
      <c r="N40" s="207">
        <f>SUM(N16:N39)</f>
        <v>457404134.62000006</v>
      </c>
      <c r="O40" s="207">
        <f>SUM(O16:O39)</f>
        <v>14307658.729999999</v>
      </c>
      <c r="P40" s="207">
        <f>SUM(P16:P39)</f>
        <v>284656195.28999984</v>
      </c>
      <c r="Q40" s="207">
        <f t="shared" ref="Q40:W40" si="13">SUM(Q16:Q39)</f>
        <v>90775548.520000011</v>
      </c>
      <c r="R40" s="207">
        <f t="shared" si="13"/>
        <v>847143537.16000009</v>
      </c>
      <c r="S40" s="207">
        <f t="shared" si="13"/>
        <v>974263988.91000032</v>
      </c>
      <c r="T40" s="207">
        <f t="shared" si="13"/>
        <v>16357916</v>
      </c>
      <c r="U40" s="207">
        <f t="shared" si="13"/>
        <v>65764438.74000001</v>
      </c>
      <c r="V40" s="207">
        <f t="shared" si="13"/>
        <v>34592894.049999997</v>
      </c>
      <c r="W40" s="207">
        <f t="shared" si="13"/>
        <v>1090979237.6999998</v>
      </c>
      <c r="X40" s="208">
        <f>SUM(R40+W40)</f>
        <v>1938122774.8599999</v>
      </c>
      <c r="Y40" s="207">
        <f>(R40-F40)*100/F40</f>
        <v>46.730914402977106</v>
      </c>
      <c r="Z40" s="207">
        <f>(W40-K40)*100/K40</f>
        <v>47.735564866799287</v>
      </c>
      <c r="AA40" s="207">
        <f>(X40-L40)*100/L40</f>
        <v>47.294749881872356</v>
      </c>
    </row>
    <row r="41" spans="1:27" ht="21" customHeight="1" thickTop="1" x14ac:dyDescent="0.4">
      <c r="L41" s="28"/>
    </row>
    <row r="42" spans="1:27" ht="21" customHeight="1" x14ac:dyDescent="0.4">
      <c r="S42" s="26"/>
      <c r="T42" s="26"/>
      <c r="X42" s="13"/>
    </row>
    <row r="43" spans="1:27" ht="21" customHeight="1" x14ac:dyDescent="0.4">
      <c r="A43" s="27"/>
      <c r="B43" s="26"/>
      <c r="C43" s="27"/>
      <c r="D43" s="27"/>
      <c r="E43" s="27"/>
      <c r="F43" s="26"/>
      <c r="G43" s="27"/>
      <c r="H43" s="27"/>
      <c r="I43" s="27"/>
      <c r="J43" s="27"/>
      <c r="K43" s="27"/>
      <c r="L43" s="28"/>
      <c r="M43" s="27"/>
      <c r="N43" s="27"/>
      <c r="O43" s="26"/>
      <c r="P43" s="27"/>
      <c r="Q43" s="27"/>
      <c r="R43" s="27"/>
      <c r="X43" s="26"/>
    </row>
    <row r="44" spans="1:27" ht="21" customHeight="1" x14ac:dyDescent="0.4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8"/>
      <c r="M44" s="27"/>
      <c r="N44" s="27"/>
      <c r="P44" s="27"/>
      <c r="Q44" s="27"/>
      <c r="R44" s="27"/>
      <c r="X44" s="26"/>
    </row>
    <row r="45" spans="1:27" ht="21" customHeight="1" x14ac:dyDescent="0.4">
      <c r="X45" s="13"/>
    </row>
    <row r="46" spans="1:27" ht="21" customHeight="1" x14ac:dyDescent="0.4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5"/>
      <c r="M46" s="27"/>
      <c r="N46" s="27"/>
      <c r="O46" s="27"/>
      <c r="P46" s="27"/>
      <c r="Q46" s="27"/>
      <c r="R46" s="27"/>
      <c r="X46" s="26"/>
    </row>
    <row r="47" spans="1:27" ht="21" customHeight="1" x14ac:dyDescent="0.4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5"/>
      <c r="M47" s="27"/>
      <c r="Q47" s="13"/>
      <c r="S47" s="13"/>
      <c r="T47" s="13"/>
      <c r="U47" s="13"/>
      <c r="V47" s="26"/>
      <c r="W47" s="13"/>
      <c r="X47" s="26"/>
    </row>
    <row r="48" spans="1:27" ht="21" customHeight="1" x14ac:dyDescent="0.4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8"/>
      <c r="M48" s="27"/>
      <c r="Q48" s="13"/>
      <c r="S48" s="13"/>
      <c r="T48" s="13"/>
      <c r="U48" s="13"/>
      <c r="V48" s="26"/>
      <c r="W48" s="13"/>
      <c r="X48" s="26"/>
    </row>
    <row r="49" spans="1:24" ht="21" customHeight="1" x14ac:dyDescent="0.4">
      <c r="S49" s="13"/>
      <c r="T49" s="13"/>
      <c r="U49" s="13"/>
      <c r="V49" s="26"/>
      <c r="W49" s="13"/>
      <c r="X49" s="26"/>
    </row>
    <row r="50" spans="1:24" ht="21" customHeight="1" x14ac:dyDescent="0.4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5"/>
      <c r="M50" s="27"/>
      <c r="Q50" s="13"/>
      <c r="S50" s="13"/>
      <c r="T50" s="13"/>
      <c r="U50" s="13"/>
      <c r="V50" s="26"/>
      <c r="W50" s="13"/>
      <c r="X50" s="26"/>
    </row>
    <row r="51" spans="1:24" ht="21" customHeight="1" x14ac:dyDescent="0.4">
      <c r="S51" s="13"/>
      <c r="T51" s="13"/>
      <c r="U51" s="13"/>
      <c r="V51" s="26"/>
      <c r="X51" s="26"/>
    </row>
    <row r="52" spans="1:24" ht="21" customHeight="1" x14ac:dyDescent="0.4">
      <c r="S52" s="13"/>
      <c r="T52" s="13"/>
      <c r="U52" s="13"/>
      <c r="V52" s="26"/>
      <c r="W52" s="13"/>
      <c r="X52" s="26"/>
    </row>
    <row r="53" spans="1:24" ht="21" customHeight="1" x14ac:dyDescent="0.4">
      <c r="S53" s="13"/>
      <c r="T53" s="13"/>
      <c r="U53" s="13"/>
      <c r="V53" s="26"/>
      <c r="W53" s="13"/>
      <c r="X53" s="26"/>
    </row>
    <row r="54" spans="1:24" ht="21" customHeight="1" x14ac:dyDescent="0.4">
      <c r="S54" s="13"/>
      <c r="T54" s="13"/>
      <c r="U54" s="13"/>
      <c r="V54" s="26"/>
      <c r="W54" s="13"/>
      <c r="X54" s="26"/>
    </row>
    <row r="55" spans="1:24" ht="21" customHeight="1" x14ac:dyDescent="0.4">
      <c r="S55" s="13"/>
      <c r="T55" s="13"/>
      <c r="U55" s="13"/>
      <c r="V55" s="26"/>
      <c r="W55" s="13"/>
      <c r="X55" s="26"/>
    </row>
    <row r="56" spans="1:24" ht="21" customHeight="1" x14ac:dyDescent="0.4">
      <c r="S56" s="13"/>
      <c r="T56" s="13"/>
      <c r="U56" s="13"/>
      <c r="V56" s="26"/>
      <c r="W56" s="13"/>
      <c r="X56" s="26"/>
    </row>
    <row r="57" spans="1:24" ht="21" customHeight="1" x14ac:dyDescent="0.4">
      <c r="S57" s="13"/>
      <c r="T57" s="13"/>
      <c r="U57" s="13"/>
      <c r="V57" s="26"/>
      <c r="W57" s="13"/>
      <c r="X57" s="26"/>
    </row>
    <row r="58" spans="1:24" ht="21" customHeight="1" x14ac:dyDescent="0.4">
      <c r="S58" s="13"/>
      <c r="T58" s="13"/>
      <c r="U58" s="13"/>
      <c r="V58" s="26"/>
      <c r="W58" s="13"/>
      <c r="X58" s="26"/>
    </row>
    <row r="59" spans="1:24" ht="21" customHeight="1" x14ac:dyDescent="0.4">
      <c r="S59" s="13"/>
      <c r="T59" s="13"/>
      <c r="U59" s="13"/>
      <c r="V59" s="26"/>
      <c r="W59" s="13"/>
      <c r="X59" s="26"/>
    </row>
    <row r="60" spans="1:24" ht="21" customHeight="1" x14ac:dyDescent="0.4">
      <c r="S60" s="13"/>
      <c r="T60" s="13"/>
      <c r="U60" s="13"/>
      <c r="V60" s="26"/>
      <c r="W60" s="13"/>
      <c r="X60" s="26"/>
    </row>
    <row r="61" spans="1:24" ht="21" customHeight="1" x14ac:dyDescent="0.4">
      <c r="S61" s="13"/>
      <c r="T61" s="13"/>
      <c r="U61" s="13"/>
      <c r="V61" s="26"/>
      <c r="W61" s="13"/>
      <c r="X61" s="26"/>
    </row>
    <row r="62" spans="1:24" ht="21" customHeight="1" x14ac:dyDescent="0.4">
      <c r="S62" s="13"/>
      <c r="T62" s="13"/>
      <c r="U62" s="13"/>
      <c r="V62" s="26"/>
      <c r="W62" s="13"/>
      <c r="X62" s="26"/>
    </row>
    <row r="63" spans="1:24" ht="21" customHeight="1" x14ac:dyDescent="0.4">
      <c r="S63" s="13"/>
      <c r="T63" s="13"/>
      <c r="U63" s="13"/>
      <c r="V63" s="26"/>
      <c r="W63" s="13"/>
      <c r="X63" s="26"/>
    </row>
    <row r="64" spans="1:24" ht="21" customHeight="1" x14ac:dyDescent="0.4">
      <c r="S64" s="13"/>
      <c r="T64" s="13"/>
      <c r="U64" s="13"/>
      <c r="V64" s="26"/>
      <c r="W64" s="13"/>
      <c r="X64" s="26"/>
    </row>
    <row r="65" spans="19:24" ht="21" customHeight="1" x14ac:dyDescent="0.4">
      <c r="S65" s="13"/>
      <c r="T65" s="13"/>
      <c r="U65" s="13"/>
      <c r="V65" s="26"/>
      <c r="W65" s="13"/>
      <c r="X65" s="26"/>
    </row>
    <row r="66" spans="19:24" ht="21" customHeight="1" x14ac:dyDescent="0.4">
      <c r="S66" s="13"/>
      <c r="T66" s="13"/>
      <c r="U66" s="13"/>
      <c r="V66" s="26"/>
      <c r="W66" s="13"/>
      <c r="X66" s="26"/>
    </row>
    <row r="67" spans="19:24" ht="21" customHeight="1" x14ac:dyDescent="0.4">
      <c r="S67" s="13"/>
      <c r="T67" s="13"/>
      <c r="U67" s="13"/>
      <c r="V67" s="26"/>
      <c r="W67" s="13"/>
      <c r="X67" s="26"/>
    </row>
    <row r="68" spans="19:24" ht="21" customHeight="1" x14ac:dyDescent="0.4">
      <c r="S68" s="13"/>
      <c r="T68" s="13"/>
      <c r="U68" s="13"/>
      <c r="V68" s="26"/>
      <c r="W68" s="13"/>
      <c r="X68" s="26"/>
    </row>
    <row r="69" spans="19:24" ht="21" customHeight="1" x14ac:dyDescent="0.4">
      <c r="S69" s="13"/>
      <c r="T69" s="13"/>
      <c r="U69" s="13"/>
      <c r="V69" s="26"/>
      <c r="W69" s="13"/>
      <c r="X69" s="26"/>
    </row>
    <row r="70" spans="19:24" ht="21" customHeight="1" x14ac:dyDescent="0.4">
      <c r="S70" s="13"/>
      <c r="T70" s="13"/>
      <c r="U70" s="13"/>
      <c r="V70" s="26"/>
      <c r="W70" s="13"/>
      <c r="X70" s="26"/>
    </row>
    <row r="71" spans="19:24" ht="21" customHeight="1" x14ac:dyDescent="0.4">
      <c r="S71" s="13"/>
      <c r="T71" s="13"/>
      <c r="U71" s="13"/>
      <c r="V71" s="26"/>
      <c r="W71" s="13"/>
      <c r="X71" s="26"/>
    </row>
    <row r="72" spans="19:24" ht="21" customHeight="1" x14ac:dyDescent="0.4">
      <c r="V72" s="26"/>
      <c r="W72" s="13"/>
    </row>
  </sheetData>
  <mergeCells count="16">
    <mergeCell ref="A1:L1"/>
    <mergeCell ref="M1:AA1"/>
    <mergeCell ref="A2:L2"/>
    <mergeCell ref="M2:AA2"/>
    <mergeCell ref="A3:L3"/>
    <mergeCell ref="M3:AA3"/>
    <mergeCell ref="B8:F8"/>
    <mergeCell ref="G8:K8"/>
    <mergeCell ref="N8:R8"/>
    <mergeCell ref="S8:W8"/>
    <mergeCell ref="A4:L4"/>
    <mergeCell ref="M4:AA4"/>
    <mergeCell ref="K6:L6"/>
    <mergeCell ref="Z6:AA6"/>
    <mergeCell ref="B7:L7"/>
    <mergeCell ref="N7:X7"/>
  </mergeCells>
  <pageMargins left="0.39370078740157483" right="0.19685039370078741" top="0.11811023622047245" bottom="0.11811023622047245" header="0.31496062992125984" footer="0.31496062992125984"/>
  <pageSetup paperSize="5" scale="65" orientation="landscape" r:id="rId1"/>
  <headerFooter>
    <oddHeader>&amp;R15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P25"/>
  <sheetViews>
    <sheetView tabSelected="1" workbookViewId="0">
      <selection activeCell="I18" sqref="I18"/>
    </sheetView>
  </sheetViews>
  <sheetFormatPr defaultColWidth="8.19921875" defaultRowHeight="18" x14ac:dyDescent="0.35"/>
  <cols>
    <col min="1" max="1" width="22.5" style="236" customWidth="1"/>
    <col min="2" max="2" width="16.3984375" style="53" customWidth="1"/>
    <col min="3" max="3" width="16.59765625" style="53" customWidth="1"/>
    <col min="4" max="4" width="16.69921875" style="37" customWidth="1"/>
    <col min="5" max="5" width="17.09765625" style="53" customWidth="1"/>
    <col min="6" max="6" width="16.09765625" style="53" customWidth="1"/>
    <col min="7" max="7" width="17" style="37" bestFit="1" customWidth="1"/>
    <col min="8" max="8" width="14.3984375" style="53" customWidth="1"/>
    <col min="9" max="9" width="13" style="53" customWidth="1"/>
    <col min="10" max="10" width="12.09765625" style="53" customWidth="1"/>
    <col min="11" max="11" width="15.19921875" style="53" bestFit="1" customWidth="1"/>
    <col min="12" max="12" width="16.296875" style="53" bestFit="1" customWidth="1"/>
    <col min="13" max="13" width="13" style="53" customWidth="1"/>
    <col min="14" max="15" width="16.296875" style="54" bestFit="1" customWidth="1"/>
    <col min="16" max="16" width="12.69921875" style="54" bestFit="1" customWidth="1"/>
    <col min="17" max="256" width="8.19921875" style="54"/>
    <col min="257" max="257" width="22.5" style="54" customWidth="1"/>
    <col min="258" max="258" width="15.3984375" style="54" customWidth="1"/>
    <col min="259" max="259" width="14.5" style="54" customWidth="1"/>
    <col min="260" max="260" width="15.19921875" style="54" bestFit="1" customWidth="1"/>
    <col min="261" max="261" width="15.3984375" style="54" customWidth="1"/>
    <col min="262" max="262" width="14.8984375" style="54" customWidth="1"/>
    <col min="263" max="263" width="17" style="54" bestFit="1" customWidth="1"/>
    <col min="264" max="264" width="14.69921875" style="54" customWidth="1"/>
    <col min="265" max="265" width="14.296875" style="54" customWidth="1"/>
    <col min="266" max="266" width="13.3984375" style="54" customWidth="1"/>
    <col min="267" max="267" width="15.19921875" style="54" bestFit="1" customWidth="1"/>
    <col min="268" max="268" width="16.296875" style="54" bestFit="1" customWidth="1"/>
    <col min="269" max="269" width="13" style="54" customWidth="1"/>
    <col min="270" max="271" width="16.296875" style="54" bestFit="1" customWidth="1"/>
    <col min="272" max="272" width="12.69921875" style="54" bestFit="1" customWidth="1"/>
    <col min="273" max="512" width="8.19921875" style="54"/>
    <col min="513" max="513" width="22.5" style="54" customWidth="1"/>
    <col min="514" max="514" width="15.3984375" style="54" customWidth="1"/>
    <col min="515" max="515" width="14.5" style="54" customWidth="1"/>
    <col min="516" max="516" width="15.19921875" style="54" bestFit="1" customWidth="1"/>
    <col min="517" max="517" width="15.3984375" style="54" customWidth="1"/>
    <col min="518" max="518" width="14.8984375" style="54" customWidth="1"/>
    <col min="519" max="519" width="17" style="54" bestFit="1" customWidth="1"/>
    <col min="520" max="520" width="14.69921875" style="54" customWidth="1"/>
    <col min="521" max="521" width="14.296875" style="54" customWidth="1"/>
    <col min="522" max="522" width="13.3984375" style="54" customWidth="1"/>
    <col min="523" max="523" width="15.19921875" style="54" bestFit="1" customWidth="1"/>
    <col min="524" max="524" width="16.296875" style="54" bestFit="1" customWidth="1"/>
    <col min="525" max="525" width="13" style="54" customWidth="1"/>
    <col min="526" max="527" width="16.296875" style="54" bestFit="1" customWidth="1"/>
    <col min="528" max="528" width="12.69921875" style="54" bestFit="1" customWidth="1"/>
    <col min="529" max="768" width="8.19921875" style="54"/>
    <col min="769" max="769" width="22.5" style="54" customWidth="1"/>
    <col min="770" max="770" width="15.3984375" style="54" customWidth="1"/>
    <col min="771" max="771" width="14.5" style="54" customWidth="1"/>
    <col min="772" max="772" width="15.19921875" style="54" bestFit="1" customWidth="1"/>
    <col min="773" max="773" width="15.3984375" style="54" customWidth="1"/>
    <col min="774" max="774" width="14.8984375" style="54" customWidth="1"/>
    <col min="775" max="775" width="17" style="54" bestFit="1" customWidth="1"/>
    <col min="776" max="776" width="14.69921875" style="54" customWidth="1"/>
    <col min="777" max="777" width="14.296875" style="54" customWidth="1"/>
    <col min="778" max="778" width="13.3984375" style="54" customWidth="1"/>
    <col min="779" max="779" width="15.19921875" style="54" bestFit="1" customWidth="1"/>
    <col min="780" max="780" width="16.296875" style="54" bestFit="1" customWidth="1"/>
    <col min="781" max="781" width="13" style="54" customWidth="1"/>
    <col min="782" max="783" width="16.296875" style="54" bestFit="1" customWidth="1"/>
    <col min="784" max="784" width="12.69921875" style="54" bestFit="1" customWidth="1"/>
    <col min="785" max="1024" width="8.19921875" style="54"/>
    <col min="1025" max="1025" width="22.5" style="54" customWidth="1"/>
    <col min="1026" max="1026" width="15.3984375" style="54" customWidth="1"/>
    <col min="1027" max="1027" width="14.5" style="54" customWidth="1"/>
    <col min="1028" max="1028" width="15.19921875" style="54" bestFit="1" customWidth="1"/>
    <col min="1029" max="1029" width="15.3984375" style="54" customWidth="1"/>
    <col min="1030" max="1030" width="14.8984375" style="54" customWidth="1"/>
    <col min="1031" max="1031" width="17" style="54" bestFit="1" customWidth="1"/>
    <col min="1032" max="1032" width="14.69921875" style="54" customWidth="1"/>
    <col min="1033" max="1033" width="14.296875" style="54" customWidth="1"/>
    <col min="1034" max="1034" width="13.3984375" style="54" customWidth="1"/>
    <col min="1035" max="1035" width="15.19921875" style="54" bestFit="1" customWidth="1"/>
    <col min="1036" max="1036" width="16.296875" style="54" bestFit="1" customWidth="1"/>
    <col min="1037" max="1037" width="13" style="54" customWidth="1"/>
    <col min="1038" max="1039" width="16.296875" style="54" bestFit="1" customWidth="1"/>
    <col min="1040" max="1040" width="12.69921875" style="54" bestFit="1" customWidth="1"/>
    <col min="1041" max="1280" width="8.19921875" style="54"/>
    <col min="1281" max="1281" width="22.5" style="54" customWidth="1"/>
    <col min="1282" max="1282" width="15.3984375" style="54" customWidth="1"/>
    <col min="1283" max="1283" width="14.5" style="54" customWidth="1"/>
    <col min="1284" max="1284" width="15.19921875" style="54" bestFit="1" customWidth="1"/>
    <col min="1285" max="1285" width="15.3984375" style="54" customWidth="1"/>
    <col min="1286" max="1286" width="14.8984375" style="54" customWidth="1"/>
    <col min="1287" max="1287" width="17" style="54" bestFit="1" customWidth="1"/>
    <col min="1288" max="1288" width="14.69921875" style="54" customWidth="1"/>
    <col min="1289" max="1289" width="14.296875" style="54" customWidth="1"/>
    <col min="1290" max="1290" width="13.3984375" style="54" customWidth="1"/>
    <col min="1291" max="1291" width="15.19921875" style="54" bestFit="1" customWidth="1"/>
    <col min="1292" max="1292" width="16.296875" style="54" bestFit="1" customWidth="1"/>
    <col min="1293" max="1293" width="13" style="54" customWidth="1"/>
    <col min="1294" max="1295" width="16.296875" style="54" bestFit="1" customWidth="1"/>
    <col min="1296" max="1296" width="12.69921875" style="54" bestFit="1" customWidth="1"/>
    <col min="1297" max="1536" width="8.19921875" style="54"/>
    <col min="1537" max="1537" width="22.5" style="54" customWidth="1"/>
    <col min="1538" max="1538" width="15.3984375" style="54" customWidth="1"/>
    <col min="1539" max="1539" width="14.5" style="54" customWidth="1"/>
    <col min="1540" max="1540" width="15.19921875" style="54" bestFit="1" customWidth="1"/>
    <col min="1541" max="1541" width="15.3984375" style="54" customWidth="1"/>
    <col min="1542" max="1542" width="14.8984375" style="54" customWidth="1"/>
    <col min="1543" max="1543" width="17" style="54" bestFit="1" customWidth="1"/>
    <col min="1544" max="1544" width="14.69921875" style="54" customWidth="1"/>
    <col min="1545" max="1545" width="14.296875" style="54" customWidth="1"/>
    <col min="1546" max="1546" width="13.3984375" style="54" customWidth="1"/>
    <col min="1547" max="1547" width="15.19921875" style="54" bestFit="1" customWidth="1"/>
    <col min="1548" max="1548" width="16.296875" style="54" bestFit="1" customWidth="1"/>
    <col min="1549" max="1549" width="13" style="54" customWidth="1"/>
    <col min="1550" max="1551" width="16.296875" style="54" bestFit="1" customWidth="1"/>
    <col min="1552" max="1552" width="12.69921875" style="54" bestFit="1" customWidth="1"/>
    <col min="1553" max="1792" width="8.19921875" style="54"/>
    <col min="1793" max="1793" width="22.5" style="54" customWidth="1"/>
    <col min="1794" max="1794" width="15.3984375" style="54" customWidth="1"/>
    <col min="1795" max="1795" width="14.5" style="54" customWidth="1"/>
    <col min="1796" max="1796" width="15.19921875" style="54" bestFit="1" customWidth="1"/>
    <col min="1797" max="1797" width="15.3984375" style="54" customWidth="1"/>
    <col min="1798" max="1798" width="14.8984375" style="54" customWidth="1"/>
    <col min="1799" max="1799" width="17" style="54" bestFit="1" customWidth="1"/>
    <col min="1800" max="1800" width="14.69921875" style="54" customWidth="1"/>
    <col min="1801" max="1801" width="14.296875" style="54" customWidth="1"/>
    <col min="1802" max="1802" width="13.3984375" style="54" customWidth="1"/>
    <col min="1803" max="1803" width="15.19921875" style="54" bestFit="1" customWidth="1"/>
    <col min="1804" max="1804" width="16.296875" style="54" bestFit="1" customWidth="1"/>
    <col min="1805" max="1805" width="13" style="54" customWidth="1"/>
    <col min="1806" max="1807" width="16.296875" style="54" bestFit="1" customWidth="1"/>
    <col min="1808" max="1808" width="12.69921875" style="54" bestFit="1" customWidth="1"/>
    <col min="1809" max="2048" width="8.19921875" style="54"/>
    <col min="2049" max="2049" width="22.5" style="54" customWidth="1"/>
    <col min="2050" max="2050" width="15.3984375" style="54" customWidth="1"/>
    <col min="2051" max="2051" width="14.5" style="54" customWidth="1"/>
    <col min="2052" max="2052" width="15.19921875" style="54" bestFit="1" customWidth="1"/>
    <col min="2053" max="2053" width="15.3984375" style="54" customWidth="1"/>
    <col min="2054" max="2054" width="14.8984375" style="54" customWidth="1"/>
    <col min="2055" max="2055" width="17" style="54" bestFit="1" customWidth="1"/>
    <col min="2056" max="2056" width="14.69921875" style="54" customWidth="1"/>
    <col min="2057" max="2057" width="14.296875" style="54" customWidth="1"/>
    <col min="2058" max="2058" width="13.3984375" style="54" customWidth="1"/>
    <col min="2059" max="2059" width="15.19921875" style="54" bestFit="1" customWidth="1"/>
    <col min="2060" max="2060" width="16.296875" style="54" bestFit="1" customWidth="1"/>
    <col min="2061" max="2061" width="13" style="54" customWidth="1"/>
    <col min="2062" max="2063" width="16.296875" style="54" bestFit="1" customWidth="1"/>
    <col min="2064" max="2064" width="12.69921875" style="54" bestFit="1" customWidth="1"/>
    <col min="2065" max="2304" width="8.19921875" style="54"/>
    <col min="2305" max="2305" width="22.5" style="54" customWidth="1"/>
    <col min="2306" max="2306" width="15.3984375" style="54" customWidth="1"/>
    <col min="2307" max="2307" width="14.5" style="54" customWidth="1"/>
    <col min="2308" max="2308" width="15.19921875" style="54" bestFit="1" customWidth="1"/>
    <col min="2309" max="2309" width="15.3984375" style="54" customWidth="1"/>
    <col min="2310" max="2310" width="14.8984375" style="54" customWidth="1"/>
    <col min="2311" max="2311" width="17" style="54" bestFit="1" customWidth="1"/>
    <col min="2312" max="2312" width="14.69921875" style="54" customWidth="1"/>
    <col min="2313" max="2313" width="14.296875" style="54" customWidth="1"/>
    <col min="2314" max="2314" width="13.3984375" style="54" customWidth="1"/>
    <col min="2315" max="2315" width="15.19921875" style="54" bestFit="1" customWidth="1"/>
    <col min="2316" max="2316" width="16.296875" style="54" bestFit="1" customWidth="1"/>
    <col min="2317" max="2317" width="13" style="54" customWidth="1"/>
    <col min="2318" max="2319" width="16.296875" style="54" bestFit="1" customWidth="1"/>
    <col min="2320" max="2320" width="12.69921875" style="54" bestFit="1" customWidth="1"/>
    <col min="2321" max="2560" width="8.19921875" style="54"/>
    <col min="2561" max="2561" width="22.5" style="54" customWidth="1"/>
    <col min="2562" max="2562" width="15.3984375" style="54" customWidth="1"/>
    <col min="2563" max="2563" width="14.5" style="54" customWidth="1"/>
    <col min="2564" max="2564" width="15.19921875" style="54" bestFit="1" customWidth="1"/>
    <col min="2565" max="2565" width="15.3984375" style="54" customWidth="1"/>
    <col min="2566" max="2566" width="14.8984375" style="54" customWidth="1"/>
    <col min="2567" max="2567" width="17" style="54" bestFit="1" customWidth="1"/>
    <col min="2568" max="2568" width="14.69921875" style="54" customWidth="1"/>
    <col min="2569" max="2569" width="14.296875" style="54" customWidth="1"/>
    <col min="2570" max="2570" width="13.3984375" style="54" customWidth="1"/>
    <col min="2571" max="2571" width="15.19921875" style="54" bestFit="1" customWidth="1"/>
    <col min="2572" max="2572" width="16.296875" style="54" bestFit="1" customWidth="1"/>
    <col min="2573" max="2573" width="13" style="54" customWidth="1"/>
    <col min="2574" max="2575" width="16.296875" style="54" bestFit="1" customWidth="1"/>
    <col min="2576" max="2576" width="12.69921875" style="54" bestFit="1" customWidth="1"/>
    <col min="2577" max="2816" width="8.19921875" style="54"/>
    <col min="2817" max="2817" width="22.5" style="54" customWidth="1"/>
    <col min="2818" max="2818" width="15.3984375" style="54" customWidth="1"/>
    <col min="2819" max="2819" width="14.5" style="54" customWidth="1"/>
    <col min="2820" max="2820" width="15.19921875" style="54" bestFit="1" customWidth="1"/>
    <col min="2821" max="2821" width="15.3984375" style="54" customWidth="1"/>
    <col min="2822" max="2822" width="14.8984375" style="54" customWidth="1"/>
    <col min="2823" max="2823" width="17" style="54" bestFit="1" customWidth="1"/>
    <col min="2824" max="2824" width="14.69921875" style="54" customWidth="1"/>
    <col min="2825" max="2825" width="14.296875" style="54" customWidth="1"/>
    <col min="2826" max="2826" width="13.3984375" style="54" customWidth="1"/>
    <col min="2827" max="2827" width="15.19921875" style="54" bestFit="1" customWidth="1"/>
    <col min="2828" max="2828" width="16.296875" style="54" bestFit="1" customWidth="1"/>
    <col min="2829" max="2829" width="13" style="54" customWidth="1"/>
    <col min="2830" max="2831" width="16.296875" style="54" bestFit="1" customWidth="1"/>
    <col min="2832" max="2832" width="12.69921875" style="54" bestFit="1" customWidth="1"/>
    <col min="2833" max="3072" width="8.19921875" style="54"/>
    <col min="3073" max="3073" width="22.5" style="54" customWidth="1"/>
    <col min="3074" max="3074" width="15.3984375" style="54" customWidth="1"/>
    <col min="3075" max="3075" width="14.5" style="54" customWidth="1"/>
    <col min="3076" max="3076" width="15.19921875" style="54" bestFit="1" customWidth="1"/>
    <col min="3077" max="3077" width="15.3984375" style="54" customWidth="1"/>
    <col min="3078" max="3078" width="14.8984375" style="54" customWidth="1"/>
    <col min="3079" max="3079" width="17" style="54" bestFit="1" customWidth="1"/>
    <col min="3080" max="3080" width="14.69921875" style="54" customWidth="1"/>
    <col min="3081" max="3081" width="14.296875" style="54" customWidth="1"/>
    <col min="3082" max="3082" width="13.3984375" style="54" customWidth="1"/>
    <col min="3083" max="3083" width="15.19921875" style="54" bestFit="1" customWidth="1"/>
    <col min="3084" max="3084" width="16.296875" style="54" bestFit="1" customWidth="1"/>
    <col min="3085" max="3085" width="13" style="54" customWidth="1"/>
    <col min="3086" max="3087" width="16.296875" style="54" bestFit="1" customWidth="1"/>
    <col min="3088" max="3088" width="12.69921875" style="54" bestFit="1" customWidth="1"/>
    <col min="3089" max="3328" width="8.19921875" style="54"/>
    <col min="3329" max="3329" width="22.5" style="54" customWidth="1"/>
    <col min="3330" max="3330" width="15.3984375" style="54" customWidth="1"/>
    <col min="3331" max="3331" width="14.5" style="54" customWidth="1"/>
    <col min="3332" max="3332" width="15.19921875" style="54" bestFit="1" customWidth="1"/>
    <col min="3333" max="3333" width="15.3984375" style="54" customWidth="1"/>
    <col min="3334" max="3334" width="14.8984375" style="54" customWidth="1"/>
    <col min="3335" max="3335" width="17" style="54" bestFit="1" customWidth="1"/>
    <col min="3336" max="3336" width="14.69921875" style="54" customWidth="1"/>
    <col min="3337" max="3337" width="14.296875" style="54" customWidth="1"/>
    <col min="3338" max="3338" width="13.3984375" style="54" customWidth="1"/>
    <col min="3339" max="3339" width="15.19921875" style="54" bestFit="1" customWidth="1"/>
    <col min="3340" max="3340" width="16.296875" style="54" bestFit="1" customWidth="1"/>
    <col min="3341" max="3341" width="13" style="54" customWidth="1"/>
    <col min="3342" max="3343" width="16.296875" style="54" bestFit="1" customWidth="1"/>
    <col min="3344" max="3344" width="12.69921875" style="54" bestFit="1" customWidth="1"/>
    <col min="3345" max="3584" width="8.19921875" style="54"/>
    <col min="3585" max="3585" width="22.5" style="54" customWidth="1"/>
    <col min="3586" max="3586" width="15.3984375" style="54" customWidth="1"/>
    <col min="3587" max="3587" width="14.5" style="54" customWidth="1"/>
    <col min="3588" max="3588" width="15.19921875" style="54" bestFit="1" customWidth="1"/>
    <col min="3589" max="3589" width="15.3984375" style="54" customWidth="1"/>
    <col min="3590" max="3590" width="14.8984375" style="54" customWidth="1"/>
    <col min="3591" max="3591" width="17" style="54" bestFit="1" customWidth="1"/>
    <col min="3592" max="3592" width="14.69921875" style="54" customWidth="1"/>
    <col min="3593" max="3593" width="14.296875" style="54" customWidth="1"/>
    <col min="3594" max="3594" width="13.3984375" style="54" customWidth="1"/>
    <col min="3595" max="3595" width="15.19921875" style="54" bestFit="1" customWidth="1"/>
    <col min="3596" max="3596" width="16.296875" style="54" bestFit="1" customWidth="1"/>
    <col min="3597" max="3597" width="13" style="54" customWidth="1"/>
    <col min="3598" max="3599" width="16.296875" style="54" bestFit="1" customWidth="1"/>
    <col min="3600" max="3600" width="12.69921875" style="54" bestFit="1" customWidth="1"/>
    <col min="3601" max="3840" width="8.19921875" style="54"/>
    <col min="3841" max="3841" width="22.5" style="54" customWidth="1"/>
    <col min="3842" max="3842" width="15.3984375" style="54" customWidth="1"/>
    <col min="3843" max="3843" width="14.5" style="54" customWidth="1"/>
    <col min="3844" max="3844" width="15.19921875" style="54" bestFit="1" customWidth="1"/>
    <col min="3845" max="3845" width="15.3984375" style="54" customWidth="1"/>
    <col min="3846" max="3846" width="14.8984375" style="54" customWidth="1"/>
    <col min="3847" max="3847" width="17" style="54" bestFit="1" customWidth="1"/>
    <col min="3848" max="3848" width="14.69921875" style="54" customWidth="1"/>
    <col min="3849" max="3849" width="14.296875" style="54" customWidth="1"/>
    <col min="3850" max="3850" width="13.3984375" style="54" customWidth="1"/>
    <col min="3851" max="3851" width="15.19921875" style="54" bestFit="1" customWidth="1"/>
    <col min="3852" max="3852" width="16.296875" style="54" bestFit="1" customWidth="1"/>
    <col min="3853" max="3853" width="13" style="54" customWidth="1"/>
    <col min="3854" max="3855" width="16.296875" style="54" bestFit="1" customWidth="1"/>
    <col min="3856" max="3856" width="12.69921875" style="54" bestFit="1" customWidth="1"/>
    <col min="3857" max="4096" width="8.19921875" style="54"/>
    <col min="4097" max="4097" width="22.5" style="54" customWidth="1"/>
    <col min="4098" max="4098" width="15.3984375" style="54" customWidth="1"/>
    <col min="4099" max="4099" width="14.5" style="54" customWidth="1"/>
    <col min="4100" max="4100" width="15.19921875" style="54" bestFit="1" customWidth="1"/>
    <col min="4101" max="4101" width="15.3984375" style="54" customWidth="1"/>
    <col min="4102" max="4102" width="14.8984375" style="54" customWidth="1"/>
    <col min="4103" max="4103" width="17" style="54" bestFit="1" customWidth="1"/>
    <col min="4104" max="4104" width="14.69921875" style="54" customWidth="1"/>
    <col min="4105" max="4105" width="14.296875" style="54" customWidth="1"/>
    <col min="4106" max="4106" width="13.3984375" style="54" customWidth="1"/>
    <col min="4107" max="4107" width="15.19921875" style="54" bestFit="1" customWidth="1"/>
    <col min="4108" max="4108" width="16.296875" style="54" bestFit="1" customWidth="1"/>
    <col min="4109" max="4109" width="13" style="54" customWidth="1"/>
    <col min="4110" max="4111" width="16.296875" style="54" bestFit="1" customWidth="1"/>
    <col min="4112" max="4112" width="12.69921875" style="54" bestFit="1" customWidth="1"/>
    <col min="4113" max="4352" width="8.19921875" style="54"/>
    <col min="4353" max="4353" width="22.5" style="54" customWidth="1"/>
    <col min="4354" max="4354" width="15.3984375" style="54" customWidth="1"/>
    <col min="4355" max="4355" width="14.5" style="54" customWidth="1"/>
    <col min="4356" max="4356" width="15.19921875" style="54" bestFit="1" customWidth="1"/>
    <col min="4357" max="4357" width="15.3984375" style="54" customWidth="1"/>
    <col min="4358" max="4358" width="14.8984375" style="54" customWidth="1"/>
    <col min="4359" max="4359" width="17" style="54" bestFit="1" customWidth="1"/>
    <col min="4360" max="4360" width="14.69921875" style="54" customWidth="1"/>
    <col min="4361" max="4361" width="14.296875" style="54" customWidth="1"/>
    <col min="4362" max="4362" width="13.3984375" style="54" customWidth="1"/>
    <col min="4363" max="4363" width="15.19921875" style="54" bestFit="1" customWidth="1"/>
    <col min="4364" max="4364" width="16.296875" style="54" bestFit="1" customWidth="1"/>
    <col min="4365" max="4365" width="13" style="54" customWidth="1"/>
    <col min="4366" max="4367" width="16.296875" style="54" bestFit="1" customWidth="1"/>
    <col min="4368" max="4368" width="12.69921875" style="54" bestFit="1" customWidth="1"/>
    <col min="4369" max="4608" width="8.19921875" style="54"/>
    <col min="4609" max="4609" width="22.5" style="54" customWidth="1"/>
    <col min="4610" max="4610" width="15.3984375" style="54" customWidth="1"/>
    <col min="4611" max="4611" width="14.5" style="54" customWidth="1"/>
    <col min="4612" max="4612" width="15.19921875" style="54" bestFit="1" customWidth="1"/>
    <col min="4613" max="4613" width="15.3984375" style="54" customWidth="1"/>
    <col min="4614" max="4614" width="14.8984375" style="54" customWidth="1"/>
    <col min="4615" max="4615" width="17" style="54" bestFit="1" customWidth="1"/>
    <col min="4616" max="4616" width="14.69921875" style="54" customWidth="1"/>
    <col min="4617" max="4617" width="14.296875" style="54" customWidth="1"/>
    <col min="4618" max="4618" width="13.3984375" style="54" customWidth="1"/>
    <col min="4619" max="4619" width="15.19921875" style="54" bestFit="1" customWidth="1"/>
    <col min="4620" max="4620" width="16.296875" style="54" bestFit="1" customWidth="1"/>
    <col min="4621" max="4621" width="13" style="54" customWidth="1"/>
    <col min="4622" max="4623" width="16.296875" style="54" bestFit="1" customWidth="1"/>
    <col min="4624" max="4624" width="12.69921875" style="54" bestFit="1" customWidth="1"/>
    <col min="4625" max="4864" width="8.19921875" style="54"/>
    <col min="4865" max="4865" width="22.5" style="54" customWidth="1"/>
    <col min="4866" max="4866" width="15.3984375" style="54" customWidth="1"/>
    <col min="4867" max="4867" width="14.5" style="54" customWidth="1"/>
    <col min="4868" max="4868" width="15.19921875" style="54" bestFit="1" customWidth="1"/>
    <col min="4869" max="4869" width="15.3984375" style="54" customWidth="1"/>
    <col min="4870" max="4870" width="14.8984375" style="54" customWidth="1"/>
    <col min="4871" max="4871" width="17" style="54" bestFit="1" customWidth="1"/>
    <col min="4872" max="4872" width="14.69921875" style="54" customWidth="1"/>
    <col min="4873" max="4873" width="14.296875" style="54" customWidth="1"/>
    <col min="4874" max="4874" width="13.3984375" style="54" customWidth="1"/>
    <col min="4875" max="4875" width="15.19921875" style="54" bestFit="1" customWidth="1"/>
    <col min="4876" max="4876" width="16.296875" style="54" bestFit="1" customWidth="1"/>
    <col min="4877" max="4877" width="13" style="54" customWidth="1"/>
    <col min="4878" max="4879" width="16.296875" style="54" bestFit="1" customWidth="1"/>
    <col min="4880" max="4880" width="12.69921875" style="54" bestFit="1" customWidth="1"/>
    <col min="4881" max="5120" width="8.19921875" style="54"/>
    <col min="5121" max="5121" width="22.5" style="54" customWidth="1"/>
    <col min="5122" max="5122" width="15.3984375" style="54" customWidth="1"/>
    <col min="5123" max="5123" width="14.5" style="54" customWidth="1"/>
    <col min="5124" max="5124" width="15.19921875" style="54" bestFit="1" customWidth="1"/>
    <col min="5125" max="5125" width="15.3984375" style="54" customWidth="1"/>
    <col min="5126" max="5126" width="14.8984375" style="54" customWidth="1"/>
    <col min="5127" max="5127" width="17" style="54" bestFit="1" customWidth="1"/>
    <col min="5128" max="5128" width="14.69921875" style="54" customWidth="1"/>
    <col min="5129" max="5129" width="14.296875" style="54" customWidth="1"/>
    <col min="5130" max="5130" width="13.3984375" style="54" customWidth="1"/>
    <col min="5131" max="5131" width="15.19921875" style="54" bestFit="1" customWidth="1"/>
    <col min="5132" max="5132" width="16.296875" style="54" bestFit="1" customWidth="1"/>
    <col min="5133" max="5133" width="13" style="54" customWidth="1"/>
    <col min="5134" max="5135" width="16.296875" style="54" bestFit="1" customWidth="1"/>
    <col min="5136" max="5136" width="12.69921875" style="54" bestFit="1" customWidth="1"/>
    <col min="5137" max="5376" width="8.19921875" style="54"/>
    <col min="5377" max="5377" width="22.5" style="54" customWidth="1"/>
    <col min="5378" max="5378" width="15.3984375" style="54" customWidth="1"/>
    <col min="5379" max="5379" width="14.5" style="54" customWidth="1"/>
    <col min="5380" max="5380" width="15.19921875" style="54" bestFit="1" customWidth="1"/>
    <col min="5381" max="5381" width="15.3984375" style="54" customWidth="1"/>
    <col min="5382" max="5382" width="14.8984375" style="54" customWidth="1"/>
    <col min="5383" max="5383" width="17" style="54" bestFit="1" customWidth="1"/>
    <col min="5384" max="5384" width="14.69921875" style="54" customWidth="1"/>
    <col min="5385" max="5385" width="14.296875" style="54" customWidth="1"/>
    <col min="5386" max="5386" width="13.3984375" style="54" customWidth="1"/>
    <col min="5387" max="5387" width="15.19921875" style="54" bestFit="1" customWidth="1"/>
    <col min="5388" max="5388" width="16.296875" style="54" bestFit="1" customWidth="1"/>
    <col min="5389" max="5389" width="13" style="54" customWidth="1"/>
    <col min="5390" max="5391" width="16.296875" style="54" bestFit="1" customWidth="1"/>
    <col min="5392" max="5392" width="12.69921875" style="54" bestFit="1" customWidth="1"/>
    <col min="5393" max="5632" width="8.19921875" style="54"/>
    <col min="5633" max="5633" width="22.5" style="54" customWidth="1"/>
    <col min="5634" max="5634" width="15.3984375" style="54" customWidth="1"/>
    <col min="5635" max="5635" width="14.5" style="54" customWidth="1"/>
    <col min="5636" max="5636" width="15.19921875" style="54" bestFit="1" customWidth="1"/>
    <col min="5637" max="5637" width="15.3984375" style="54" customWidth="1"/>
    <col min="5638" max="5638" width="14.8984375" style="54" customWidth="1"/>
    <col min="5639" max="5639" width="17" style="54" bestFit="1" customWidth="1"/>
    <col min="5640" max="5640" width="14.69921875" style="54" customWidth="1"/>
    <col min="5641" max="5641" width="14.296875" style="54" customWidth="1"/>
    <col min="5642" max="5642" width="13.3984375" style="54" customWidth="1"/>
    <col min="5643" max="5643" width="15.19921875" style="54" bestFit="1" customWidth="1"/>
    <col min="5644" max="5644" width="16.296875" style="54" bestFit="1" customWidth="1"/>
    <col min="5645" max="5645" width="13" style="54" customWidth="1"/>
    <col min="5646" max="5647" width="16.296875" style="54" bestFit="1" customWidth="1"/>
    <col min="5648" max="5648" width="12.69921875" style="54" bestFit="1" customWidth="1"/>
    <col min="5649" max="5888" width="8.19921875" style="54"/>
    <col min="5889" max="5889" width="22.5" style="54" customWidth="1"/>
    <col min="5890" max="5890" width="15.3984375" style="54" customWidth="1"/>
    <col min="5891" max="5891" width="14.5" style="54" customWidth="1"/>
    <col min="5892" max="5892" width="15.19921875" style="54" bestFit="1" customWidth="1"/>
    <col min="5893" max="5893" width="15.3984375" style="54" customWidth="1"/>
    <col min="5894" max="5894" width="14.8984375" style="54" customWidth="1"/>
    <col min="5895" max="5895" width="17" style="54" bestFit="1" customWidth="1"/>
    <col min="5896" max="5896" width="14.69921875" style="54" customWidth="1"/>
    <col min="5897" max="5897" width="14.296875" style="54" customWidth="1"/>
    <col min="5898" max="5898" width="13.3984375" style="54" customWidth="1"/>
    <col min="5899" max="5899" width="15.19921875" style="54" bestFit="1" customWidth="1"/>
    <col min="5900" max="5900" width="16.296875" style="54" bestFit="1" customWidth="1"/>
    <col min="5901" max="5901" width="13" style="54" customWidth="1"/>
    <col min="5902" max="5903" width="16.296875" style="54" bestFit="1" customWidth="1"/>
    <col min="5904" max="5904" width="12.69921875" style="54" bestFit="1" customWidth="1"/>
    <col min="5905" max="6144" width="8.19921875" style="54"/>
    <col min="6145" max="6145" width="22.5" style="54" customWidth="1"/>
    <col min="6146" max="6146" width="15.3984375" style="54" customWidth="1"/>
    <col min="6147" max="6147" width="14.5" style="54" customWidth="1"/>
    <col min="6148" max="6148" width="15.19921875" style="54" bestFit="1" customWidth="1"/>
    <col min="6149" max="6149" width="15.3984375" style="54" customWidth="1"/>
    <col min="6150" max="6150" width="14.8984375" style="54" customWidth="1"/>
    <col min="6151" max="6151" width="17" style="54" bestFit="1" customWidth="1"/>
    <col min="6152" max="6152" width="14.69921875" style="54" customWidth="1"/>
    <col min="6153" max="6153" width="14.296875" style="54" customWidth="1"/>
    <col min="6154" max="6154" width="13.3984375" style="54" customWidth="1"/>
    <col min="6155" max="6155" width="15.19921875" style="54" bestFit="1" customWidth="1"/>
    <col min="6156" max="6156" width="16.296875" style="54" bestFit="1" customWidth="1"/>
    <col min="6157" max="6157" width="13" style="54" customWidth="1"/>
    <col min="6158" max="6159" width="16.296875" style="54" bestFit="1" customWidth="1"/>
    <col min="6160" max="6160" width="12.69921875" style="54" bestFit="1" customWidth="1"/>
    <col min="6161" max="6400" width="8.19921875" style="54"/>
    <col min="6401" max="6401" width="22.5" style="54" customWidth="1"/>
    <col min="6402" max="6402" width="15.3984375" style="54" customWidth="1"/>
    <col min="6403" max="6403" width="14.5" style="54" customWidth="1"/>
    <col min="6404" max="6404" width="15.19921875" style="54" bestFit="1" customWidth="1"/>
    <col min="6405" max="6405" width="15.3984375" style="54" customWidth="1"/>
    <col min="6406" max="6406" width="14.8984375" style="54" customWidth="1"/>
    <col min="6407" max="6407" width="17" style="54" bestFit="1" customWidth="1"/>
    <col min="6408" max="6408" width="14.69921875" style="54" customWidth="1"/>
    <col min="6409" max="6409" width="14.296875" style="54" customWidth="1"/>
    <col min="6410" max="6410" width="13.3984375" style="54" customWidth="1"/>
    <col min="6411" max="6411" width="15.19921875" style="54" bestFit="1" customWidth="1"/>
    <col min="6412" max="6412" width="16.296875" style="54" bestFit="1" customWidth="1"/>
    <col min="6413" max="6413" width="13" style="54" customWidth="1"/>
    <col min="6414" max="6415" width="16.296875" style="54" bestFit="1" customWidth="1"/>
    <col min="6416" max="6416" width="12.69921875" style="54" bestFit="1" customWidth="1"/>
    <col min="6417" max="6656" width="8.19921875" style="54"/>
    <col min="6657" max="6657" width="22.5" style="54" customWidth="1"/>
    <col min="6658" max="6658" width="15.3984375" style="54" customWidth="1"/>
    <col min="6659" max="6659" width="14.5" style="54" customWidth="1"/>
    <col min="6660" max="6660" width="15.19921875" style="54" bestFit="1" customWidth="1"/>
    <col min="6661" max="6661" width="15.3984375" style="54" customWidth="1"/>
    <col min="6662" max="6662" width="14.8984375" style="54" customWidth="1"/>
    <col min="6663" max="6663" width="17" style="54" bestFit="1" customWidth="1"/>
    <col min="6664" max="6664" width="14.69921875" style="54" customWidth="1"/>
    <col min="6665" max="6665" width="14.296875" style="54" customWidth="1"/>
    <col min="6666" max="6666" width="13.3984375" style="54" customWidth="1"/>
    <col min="6667" max="6667" width="15.19921875" style="54" bestFit="1" customWidth="1"/>
    <col min="6668" max="6668" width="16.296875" style="54" bestFit="1" customWidth="1"/>
    <col min="6669" max="6669" width="13" style="54" customWidth="1"/>
    <col min="6670" max="6671" width="16.296875" style="54" bestFit="1" customWidth="1"/>
    <col min="6672" max="6672" width="12.69921875" style="54" bestFit="1" customWidth="1"/>
    <col min="6673" max="6912" width="8.19921875" style="54"/>
    <col min="6913" max="6913" width="22.5" style="54" customWidth="1"/>
    <col min="6914" max="6914" width="15.3984375" style="54" customWidth="1"/>
    <col min="6915" max="6915" width="14.5" style="54" customWidth="1"/>
    <col min="6916" max="6916" width="15.19921875" style="54" bestFit="1" customWidth="1"/>
    <col min="6917" max="6917" width="15.3984375" style="54" customWidth="1"/>
    <col min="6918" max="6918" width="14.8984375" style="54" customWidth="1"/>
    <col min="6919" max="6919" width="17" style="54" bestFit="1" customWidth="1"/>
    <col min="6920" max="6920" width="14.69921875" style="54" customWidth="1"/>
    <col min="6921" max="6921" width="14.296875" style="54" customWidth="1"/>
    <col min="6922" max="6922" width="13.3984375" style="54" customWidth="1"/>
    <col min="6923" max="6923" width="15.19921875" style="54" bestFit="1" customWidth="1"/>
    <col min="6924" max="6924" width="16.296875" style="54" bestFit="1" customWidth="1"/>
    <col min="6925" max="6925" width="13" style="54" customWidth="1"/>
    <col min="6926" max="6927" width="16.296875" style="54" bestFit="1" customWidth="1"/>
    <col min="6928" max="6928" width="12.69921875" style="54" bestFit="1" customWidth="1"/>
    <col min="6929" max="7168" width="8.19921875" style="54"/>
    <col min="7169" max="7169" width="22.5" style="54" customWidth="1"/>
    <col min="7170" max="7170" width="15.3984375" style="54" customWidth="1"/>
    <col min="7171" max="7171" width="14.5" style="54" customWidth="1"/>
    <col min="7172" max="7172" width="15.19921875" style="54" bestFit="1" customWidth="1"/>
    <col min="7173" max="7173" width="15.3984375" style="54" customWidth="1"/>
    <col min="7174" max="7174" width="14.8984375" style="54" customWidth="1"/>
    <col min="7175" max="7175" width="17" style="54" bestFit="1" customWidth="1"/>
    <col min="7176" max="7176" width="14.69921875" style="54" customWidth="1"/>
    <col min="7177" max="7177" width="14.296875" style="54" customWidth="1"/>
    <col min="7178" max="7178" width="13.3984375" style="54" customWidth="1"/>
    <col min="7179" max="7179" width="15.19921875" style="54" bestFit="1" customWidth="1"/>
    <col min="7180" max="7180" width="16.296875" style="54" bestFit="1" customWidth="1"/>
    <col min="7181" max="7181" width="13" style="54" customWidth="1"/>
    <col min="7182" max="7183" width="16.296875" style="54" bestFit="1" customWidth="1"/>
    <col min="7184" max="7184" width="12.69921875" style="54" bestFit="1" customWidth="1"/>
    <col min="7185" max="7424" width="8.19921875" style="54"/>
    <col min="7425" max="7425" width="22.5" style="54" customWidth="1"/>
    <col min="7426" max="7426" width="15.3984375" style="54" customWidth="1"/>
    <col min="7427" max="7427" width="14.5" style="54" customWidth="1"/>
    <col min="7428" max="7428" width="15.19921875" style="54" bestFit="1" customWidth="1"/>
    <col min="7429" max="7429" width="15.3984375" style="54" customWidth="1"/>
    <col min="7430" max="7430" width="14.8984375" style="54" customWidth="1"/>
    <col min="7431" max="7431" width="17" style="54" bestFit="1" customWidth="1"/>
    <col min="7432" max="7432" width="14.69921875" style="54" customWidth="1"/>
    <col min="7433" max="7433" width="14.296875" style="54" customWidth="1"/>
    <col min="7434" max="7434" width="13.3984375" style="54" customWidth="1"/>
    <col min="7435" max="7435" width="15.19921875" style="54" bestFit="1" customWidth="1"/>
    <col min="7436" max="7436" width="16.296875" style="54" bestFit="1" customWidth="1"/>
    <col min="7437" max="7437" width="13" style="54" customWidth="1"/>
    <col min="7438" max="7439" width="16.296875" style="54" bestFit="1" customWidth="1"/>
    <col min="7440" max="7440" width="12.69921875" style="54" bestFit="1" customWidth="1"/>
    <col min="7441" max="7680" width="8.19921875" style="54"/>
    <col min="7681" max="7681" width="22.5" style="54" customWidth="1"/>
    <col min="7682" max="7682" width="15.3984375" style="54" customWidth="1"/>
    <col min="7683" max="7683" width="14.5" style="54" customWidth="1"/>
    <col min="7684" max="7684" width="15.19921875" style="54" bestFit="1" customWidth="1"/>
    <col min="7685" max="7685" width="15.3984375" style="54" customWidth="1"/>
    <col min="7686" max="7686" width="14.8984375" style="54" customWidth="1"/>
    <col min="7687" max="7687" width="17" style="54" bestFit="1" customWidth="1"/>
    <col min="7688" max="7688" width="14.69921875" style="54" customWidth="1"/>
    <col min="7689" max="7689" width="14.296875" style="54" customWidth="1"/>
    <col min="7690" max="7690" width="13.3984375" style="54" customWidth="1"/>
    <col min="7691" max="7691" width="15.19921875" style="54" bestFit="1" customWidth="1"/>
    <col min="7692" max="7692" width="16.296875" style="54" bestFit="1" customWidth="1"/>
    <col min="7693" max="7693" width="13" style="54" customWidth="1"/>
    <col min="7694" max="7695" width="16.296875" style="54" bestFit="1" customWidth="1"/>
    <col min="7696" max="7696" width="12.69921875" style="54" bestFit="1" customWidth="1"/>
    <col min="7697" max="7936" width="8.19921875" style="54"/>
    <col min="7937" max="7937" width="22.5" style="54" customWidth="1"/>
    <col min="7938" max="7938" width="15.3984375" style="54" customWidth="1"/>
    <col min="7939" max="7939" width="14.5" style="54" customWidth="1"/>
    <col min="7940" max="7940" width="15.19921875" style="54" bestFit="1" customWidth="1"/>
    <col min="7941" max="7941" width="15.3984375" style="54" customWidth="1"/>
    <col min="7942" max="7942" width="14.8984375" style="54" customWidth="1"/>
    <col min="7943" max="7943" width="17" style="54" bestFit="1" customWidth="1"/>
    <col min="7944" max="7944" width="14.69921875" style="54" customWidth="1"/>
    <col min="7945" max="7945" width="14.296875" style="54" customWidth="1"/>
    <col min="7946" max="7946" width="13.3984375" style="54" customWidth="1"/>
    <col min="7947" max="7947" width="15.19921875" style="54" bestFit="1" customWidth="1"/>
    <col min="7948" max="7948" width="16.296875" style="54" bestFit="1" customWidth="1"/>
    <col min="7949" max="7949" width="13" style="54" customWidth="1"/>
    <col min="7950" max="7951" width="16.296875" style="54" bestFit="1" customWidth="1"/>
    <col min="7952" max="7952" width="12.69921875" style="54" bestFit="1" customWidth="1"/>
    <col min="7953" max="8192" width="8.19921875" style="54"/>
    <col min="8193" max="8193" width="22.5" style="54" customWidth="1"/>
    <col min="8194" max="8194" width="15.3984375" style="54" customWidth="1"/>
    <col min="8195" max="8195" width="14.5" style="54" customWidth="1"/>
    <col min="8196" max="8196" width="15.19921875" style="54" bestFit="1" customWidth="1"/>
    <col min="8197" max="8197" width="15.3984375" style="54" customWidth="1"/>
    <col min="8198" max="8198" width="14.8984375" style="54" customWidth="1"/>
    <col min="8199" max="8199" width="17" style="54" bestFit="1" customWidth="1"/>
    <col min="8200" max="8200" width="14.69921875" style="54" customWidth="1"/>
    <col min="8201" max="8201" width="14.296875" style="54" customWidth="1"/>
    <col min="8202" max="8202" width="13.3984375" style="54" customWidth="1"/>
    <col min="8203" max="8203" width="15.19921875" style="54" bestFit="1" customWidth="1"/>
    <col min="8204" max="8204" width="16.296875" style="54" bestFit="1" customWidth="1"/>
    <col min="8205" max="8205" width="13" style="54" customWidth="1"/>
    <col min="8206" max="8207" width="16.296875" style="54" bestFit="1" customWidth="1"/>
    <col min="8208" max="8208" width="12.69921875" style="54" bestFit="1" customWidth="1"/>
    <col min="8209" max="8448" width="8.19921875" style="54"/>
    <col min="8449" max="8449" width="22.5" style="54" customWidth="1"/>
    <col min="8450" max="8450" width="15.3984375" style="54" customWidth="1"/>
    <col min="8451" max="8451" width="14.5" style="54" customWidth="1"/>
    <col min="8452" max="8452" width="15.19921875" style="54" bestFit="1" customWidth="1"/>
    <col min="8453" max="8453" width="15.3984375" style="54" customWidth="1"/>
    <col min="8454" max="8454" width="14.8984375" style="54" customWidth="1"/>
    <col min="8455" max="8455" width="17" style="54" bestFit="1" customWidth="1"/>
    <col min="8456" max="8456" width="14.69921875" style="54" customWidth="1"/>
    <col min="8457" max="8457" width="14.296875" style="54" customWidth="1"/>
    <col min="8458" max="8458" width="13.3984375" style="54" customWidth="1"/>
    <col min="8459" max="8459" width="15.19921875" style="54" bestFit="1" customWidth="1"/>
    <col min="8460" max="8460" width="16.296875" style="54" bestFit="1" customWidth="1"/>
    <col min="8461" max="8461" width="13" style="54" customWidth="1"/>
    <col min="8462" max="8463" width="16.296875" style="54" bestFit="1" customWidth="1"/>
    <col min="8464" max="8464" width="12.69921875" style="54" bestFit="1" customWidth="1"/>
    <col min="8465" max="8704" width="8.19921875" style="54"/>
    <col min="8705" max="8705" width="22.5" style="54" customWidth="1"/>
    <col min="8706" max="8706" width="15.3984375" style="54" customWidth="1"/>
    <col min="8707" max="8707" width="14.5" style="54" customWidth="1"/>
    <col min="8708" max="8708" width="15.19921875" style="54" bestFit="1" customWidth="1"/>
    <col min="8709" max="8709" width="15.3984375" style="54" customWidth="1"/>
    <col min="8710" max="8710" width="14.8984375" style="54" customWidth="1"/>
    <col min="8711" max="8711" width="17" style="54" bestFit="1" customWidth="1"/>
    <col min="8712" max="8712" width="14.69921875" style="54" customWidth="1"/>
    <col min="8713" max="8713" width="14.296875" style="54" customWidth="1"/>
    <col min="8714" max="8714" width="13.3984375" style="54" customWidth="1"/>
    <col min="8715" max="8715" width="15.19921875" style="54" bestFit="1" customWidth="1"/>
    <col min="8716" max="8716" width="16.296875" style="54" bestFit="1" customWidth="1"/>
    <col min="8717" max="8717" width="13" style="54" customWidth="1"/>
    <col min="8718" max="8719" width="16.296875" style="54" bestFit="1" customWidth="1"/>
    <col min="8720" max="8720" width="12.69921875" style="54" bestFit="1" customWidth="1"/>
    <col min="8721" max="8960" width="8.19921875" style="54"/>
    <col min="8961" max="8961" width="22.5" style="54" customWidth="1"/>
    <col min="8962" max="8962" width="15.3984375" style="54" customWidth="1"/>
    <col min="8963" max="8963" width="14.5" style="54" customWidth="1"/>
    <col min="8964" max="8964" width="15.19921875" style="54" bestFit="1" customWidth="1"/>
    <col min="8965" max="8965" width="15.3984375" style="54" customWidth="1"/>
    <col min="8966" max="8966" width="14.8984375" style="54" customWidth="1"/>
    <col min="8967" max="8967" width="17" style="54" bestFit="1" customWidth="1"/>
    <col min="8968" max="8968" width="14.69921875" style="54" customWidth="1"/>
    <col min="8969" max="8969" width="14.296875" style="54" customWidth="1"/>
    <col min="8970" max="8970" width="13.3984375" style="54" customWidth="1"/>
    <col min="8971" max="8971" width="15.19921875" style="54" bestFit="1" customWidth="1"/>
    <col min="8972" max="8972" width="16.296875" style="54" bestFit="1" customWidth="1"/>
    <col min="8973" max="8973" width="13" style="54" customWidth="1"/>
    <col min="8974" max="8975" width="16.296875" style="54" bestFit="1" customWidth="1"/>
    <col min="8976" max="8976" width="12.69921875" style="54" bestFit="1" customWidth="1"/>
    <col min="8977" max="9216" width="8.19921875" style="54"/>
    <col min="9217" max="9217" width="22.5" style="54" customWidth="1"/>
    <col min="9218" max="9218" width="15.3984375" style="54" customWidth="1"/>
    <col min="9219" max="9219" width="14.5" style="54" customWidth="1"/>
    <col min="9220" max="9220" width="15.19921875" style="54" bestFit="1" customWidth="1"/>
    <col min="9221" max="9221" width="15.3984375" style="54" customWidth="1"/>
    <col min="9222" max="9222" width="14.8984375" style="54" customWidth="1"/>
    <col min="9223" max="9223" width="17" style="54" bestFit="1" customWidth="1"/>
    <col min="9224" max="9224" width="14.69921875" style="54" customWidth="1"/>
    <col min="9225" max="9225" width="14.296875" style="54" customWidth="1"/>
    <col min="9226" max="9226" width="13.3984375" style="54" customWidth="1"/>
    <col min="9227" max="9227" width="15.19921875" style="54" bestFit="1" customWidth="1"/>
    <col min="9228" max="9228" width="16.296875" style="54" bestFit="1" customWidth="1"/>
    <col min="9229" max="9229" width="13" style="54" customWidth="1"/>
    <col min="9230" max="9231" width="16.296875" style="54" bestFit="1" customWidth="1"/>
    <col min="9232" max="9232" width="12.69921875" style="54" bestFit="1" customWidth="1"/>
    <col min="9233" max="9472" width="8.19921875" style="54"/>
    <col min="9473" max="9473" width="22.5" style="54" customWidth="1"/>
    <col min="9474" max="9474" width="15.3984375" style="54" customWidth="1"/>
    <col min="9475" max="9475" width="14.5" style="54" customWidth="1"/>
    <col min="9476" max="9476" width="15.19921875" style="54" bestFit="1" customWidth="1"/>
    <col min="9477" max="9477" width="15.3984375" style="54" customWidth="1"/>
    <col min="9478" max="9478" width="14.8984375" style="54" customWidth="1"/>
    <col min="9479" max="9479" width="17" style="54" bestFit="1" customWidth="1"/>
    <col min="9480" max="9480" width="14.69921875" style="54" customWidth="1"/>
    <col min="9481" max="9481" width="14.296875" style="54" customWidth="1"/>
    <col min="9482" max="9482" width="13.3984375" style="54" customWidth="1"/>
    <col min="9483" max="9483" width="15.19921875" style="54" bestFit="1" customWidth="1"/>
    <col min="9484" max="9484" width="16.296875" style="54" bestFit="1" customWidth="1"/>
    <col min="9485" max="9485" width="13" style="54" customWidth="1"/>
    <col min="9486" max="9487" width="16.296875" style="54" bestFit="1" customWidth="1"/>
    <col min="9488" max="9488" width="12.69921875" style="54" bestFit="1" customWidth="1"/>
    <col min="9489" max="9728" width="8.19921875" style="54"/>
    <col min="9729" max="9729" width="22.5" style="54" customWidth="1"/>
    <col min="9730" max="9730" width="15.3984375" style="54" customWidth="1"/>
    <col min="9731" max="9731" width="14.5" style="54" customWidth="1"/>
    <col min="9732" max="9732" width="15.19921875" style="54" bestFit="1" customWidth="1"/>
    <col min="9733" max="9733" width="15.3984375" style="54" customWidth="1"/>
    <col min="9734" max="9734" width="14.8984375" style="54" customWidth="1"/>
    <col min="9735" max="9735" width="17" style="54" bestFit="1" customWidth="1"/>
    <col min="9736" max="9736" width="14.69921875" style="54" customWidth="1"/>
    <col min="9737" max="9737" width="14.296875" style="54" customWidth="1"/>
    <col min="9738" max="9738" width="13.3984375" style="54" customWidth="1"/>
    <col min="9739" max="9739" width="15.19921875" style="54" bestFit="1" customWidth="1"/>
    <col min="9740" max="9740" width="16.296875" style="54" bestFit="1" customWidth="1"/>
    <col min="9741" max="9741" width="13" style="54" customWidth="1"/>
    <col min="9742" max="9743" width="16.296875" style="54" bestFit="1" customWidth="1"/>
    <col min="9744" max="9744" width="12.69921875" style="54" bestFit="1" customWidth="1"/>
    <col min="9745" max="9984" width="8.19921875" style="54"/>
    <col min="9985" max="9985" width="22.5" style="54" customWidth="1"/>
    <col min="9986" max="9986" width="15.3984375" style="54" customWidth="1"/>
    <col min="9987" max="9987" width="14.5" style="54" customWidth="1"/>
    <col min="9988" max="9988" width="15.19921875" style="54" bestFit="1" customWidth="1"/>
    <col min="9989" max="9989" width="15.3984375" style="54" customWidth="1"/>
    <col min="9990" max="9990" width="14.8984375" style="54" customWidth="1"/>
    <col min="9991" max="9991" width="17" style="54" bestFit="1" customWidth="1"/>
    <col min="9992" max="9992" width="14.69921875" style="54" customWidth="1"/>
    <col min="9993" max="9993" width="14.296875" style="54" customWidth="1"/>
    <col min="9994" max="9994" width="13.3984375" style="54" customWidth="1"/>
    <col min="9995" max="9995" width="15.19921875" style="54" bestFit="1" customWidth="1"/>
    <col min="9996" max="9996" width="16.296875" style="54" bestFit="1" customWidth="1"/>
    <col min="9997" max="9997" width="13" style="54" customWidth="1"/>
    <col min="9998" max="9999" width="16.296875" style="54" bestFit="1" customWidth="1"/>
    <col min="10000" max="10000" width="12.69921875" style="54" bestFit="1" customWidth="1"/>
    <col min="10001" max="10240" width="8.19921875" style="54"/>
    <col min="10241" max="10241" width="22.5" style="54" customWidth="1"/>
    <col min="10242" max="10242" width="15.3984375" style="54" customWidth="1"/>
    <col min="10243" max="10243" width="14.5" style="54" customWidth="1"/>
    <col min="10244" max="10244" width="15.19921875" style="54" bestFit="1" customWidth="1"/>
    <col min="10245" max="10245" width="15.3984375" style="54" customWidth="1"/>
    <col min="10246" max="10246" width="14.8984375" style="54" customWidth="1"/>
    <col min="10247" max="10247" width="17" style="54" bestFit="1" customWidth="1"/>
    <col min="10248" max="10248" width="14.69921875" style="54" customWidth="1"/>
    <col min="10249" max="10249" width="14.296875" style="54" customWidth="1"/>
    <col min="10250" max="10250" width="13.3984375" style="54" customWidth="1"/>
    <col min="10251" max="10251" width="15.19921875" style="54" bestFit="1" customWidth="1"/>
    <col min="10252" max="10252" width="16.296875" style="54" bestFit="1" customWidth="1"/>
    <col min="10253" max="10253" width="13" style="54" customWidth="1"/>
    <col min="10254" max="10255" width="16.296875" style="54" bestFit="1" customWidth="1"/>
    <col min="10256" max="10256" width="12.69921875" style="54" bestFit="1" customWidth="1"/>
    <col min="10257" max="10496" width="8.19921875" style="54"/>
    <col min="10497" max="10497" width="22.5" style="54" customWidth="1"/>
    <col min="10498" max="10498" width="15.3984375" style="54" customWidth="1"/>
    <col min="10499" max="10499" width="14.5" style="54" customWidth="1"/>
    <col min="10500" max="10500" width="15.19921875" style="54" bestFit="1" customWidth="1"/>
    <col min="10501" max="10501" width="15.3984375" style="54" customWidth="1"/>
    <col min="10502" max="10502" width="14.8984375" style="54" customWidth="1"/>
    <col min="10503" max="10503" width="17" style="54" bestFit="1" customWidth="1"/>
    <col min="10504" max="10504" width="14.69921875" style="54" customWidth="1"/>
    <col min="10505" max="10505" width="14.296875" style="54" customWidth="1"/>
    <col min="10506" max="10506" width="13.3984375" style="54" customWidth="1"/>
    <col min="10507" max="10507" width="15.19921875" style="54" bestFit="1" customWidth="1"/>
    <col min="10508" max="10508" width="16.296875" style="54" bestFit="1" customWidth="1"/>
    <col min="10509" max="10509" width="13" style="54" customWidth="1"/>
    <col min="10510" max="10511" width="16.296875" style="54" bestFit="1" customWidth="1"/>
    <col min="10512" max="10512" width="12.69921875" style="54" bestFit="1" customWidth="1"/>
    <col min="10513" max="10752" width="8.19921875" style="54"/>
    <col min="10753" max="10753" width="22.5" style="54" customWidth="1"/>
    <col min="10754" max="10754" width="15.3984375" style="54" customWidth="1"/>
    <col min="10755" max="10755" width="14.5" style="54" customWidth="1"/>
    <col min="10756" max="10756" width="15.19921875" style="54" bestFit="1" customWidth="1"/>
    <col min="10757" max="10757" width="15.3984375" style="54" customWidth="1"/>
    <col min="10758" max="10758" width="14.8984375" style="54" customWidth="1"/>
    <col min="10759" max="10759" width="17" style="54" bestFit="1" customWidth="1"/>
    <col min="10760" max="10760" width="14.69921875" style="54" customWidth="1"/>
    <col min="10761" max="10761" width="14.296875" style="54" customWidth="1"/>
    <col min="10762" max="10762" width="13.3984375" style="54" customWidth="1"/>
    <col min="10763" max="10763" width="15.19921875" style="54" bestFit="1" customWidth="1"/>
    <col min="10764" max="10764" width="16.296875" style="54" bestFit="1" customWidth="1"/>
    <col min="10765" max="10765" width="13" style="54" customWidth="1"/>
    <col min="10766" max="10767" width="16.296875" style="54" bestFit="1" customWidth="1"/>
    <col min="10768" max="10768" width="12.69921875" style="54" bestFit="1" customWidth="1"/>
    <col min="10769" max="11008" width="8.19921875" style="54"/>
    <col min="11009" max="11009" width="22.5" style="54" customWidth="1"/>
    <col min="11010" max="11010" width="15.3984375" style="54" customWidth="1"/>
    <col min="11011" max="11011" width="14.5" style="54" customWidth="1"/>
    <col min="11012" max="11012" width="15.19921875" style="54" bestFit="1" customWidth="1"/>
    <col min="11013" max="11013" width="15.3984375" style="54" customWidth="1"/>
    <col min="11014" max="11014" width="14.8984375" style="54" customWidth="1"/>
    <col min="11015" max="11015" width="17" style="54" bestFit="1" customWidth="1"/>
    <col min="11016" max="11016" width="14.69921875" style="54" customWidth="1"/>
    <col min="11017" max="11017" width="14.296875" style="54" customWidth="1"/>
    <col min="11018" max="11018" width="13.3984375" style="54" customWidth="1"/>
    <col min="11019" max="11019" width="15.19921875" style="54" bestFit="1" customWidth="1"/>
    <col min="11020" max="11020" width="16.296875" style="54" bestFit="1" customWidth="1"/>
    <col min="11021" max="11021" width="13" style="54" customWidth="1"/>
    <col min="11022" max="11023" width="16.296875" style="54" bestFit="1" customWidth="1"/>
    <col min="11024" max="11024" width="12.69921875" style="54" bestFit="1" customWidth="1"/>
    <col min="11025" max="11264" width="8.19921875" style="54"/>
    <col min="11265" max="11265" width="22.5" style="54" customWidth="1"/>
    <col min="11266" max="11266" width="15.3984375" style="54" customWidth="1"/>
    <col min="11267" max="11267" width="14.5" style="54" customWidth="1"/>
    <col min="11268" max="11268" width="15.19921875" style="54" bestFit="1" customWidth="1"/>
    <col min="11269" max="11269" width="15.3984375" style="54" customWidth="1"/>
    <col min="11270" max="11270" width="14.8984375" style="54" customWidth="1"/>
    <col min="11271" max="11271" width="17" style="54" bestFit="1" customWidth="1"/>
    <col min="11272" max="11272" width="14.69921875" style="54" customWidth="1"/>
    <col min="11273" max="11273" width="14.296875" style="54" customWidth="1"/>
    <col min="11274" max="11274" width="13.3984375" style="54" customWidth="1"/>
    <col min="11275" max="11275" width="15.19921875" style="54" bestFit="1" customWidth="1"/>
    <col min="11276" max="11276" width="16.296875" style="54" bestFit="1" customWidth="1"/>
    <col min="11277" max="11277" width="13" style="54" customWidth="1"/>
    <col min="11278" max="11279" width="16.296875" style="54" bestFit="1" customWidth="1"/>
    <col min="11280" max="11280" width="12.69921875" style="54" bestFit="1" customWidth="1"/>
    <col min="11281" max="11520" width="8.19921875" style="54"/>
    <col min="11521" max="11521" width="22.5" style="54" customWidth="1"/>
    <col min="11522" max="11522" width="15.3984375" style="54" customWidth="1"/>
    <col min="11523" max="11523" width="14.5" style="54" customWidth="1"/>
    <col min="11524" max="11524" width="15.19921875" style="54" bestFit="1" customWidth="1"/>
    <col min="11525" max="11525" width="15.3984375" style="54" customWidth="1"/>
    <col min="11526" max="11526" width="14.8984375" style="54" customWidth="1"/>
    <col min="11527" max="11527" width="17" style="54" bestFit="1" customWidth="1"/>
    <col min="11528" max="11528" width="14.69921875" style="54" customWidth="1"/>
    <col min="11529" max="11529" width="14.296875" style="54" customWidth="1"/>
    <col min="11530" max="11530" width="13.3984375" style="54" customWidth="1"/>
    <col min="11531" max="11531" width="15.19921875" style="54" bestFit="1" customWidth="1"/>
    <col min="11532" max="11532" width="16.296875" style="54" bestFit="1" customWidth="1"/>
    <col min="11533" max="11533" width="13" style="54" customWidth="1"/>
    <col min="11534" max="11535" width="16.296875" style="54" bestFit="1" customWidth="1"/>
    <col min="11536" max="11536" width="12.69921875" style="54" bestFit="1" customWidth="1"/>
    <col min="11537" max="11776" width="8.19921875" style="54"/>
    <col min="11777" max="11777" width="22.5" style="54" customWidth="1"/>
    <col min="11778" max="11778" width="15.3984375" style="54" customWidth="1"/>
    <col min="11779" max="11779" width="14.5" style="54" customWidth="1"/>
    <col min="11780" max="11780" width="15.19921875" style="54" bestFit="1" customWidth="1"/>
    <col min="11781" max="11781" width="15.3984375" style="54" customWidth="1"/>
    <col min="11782" max="11782" width="14.8984375" style="54" customWidth="1"/>
    <col min="11783" max="11783" width="17" style="54" bestFit="1" customWidth="1"/>
    <col min="11784" max="11784" width="14.69921875" style="54" customWidth="1"/>
    <col min="11785" max="11785" width="14.296875" style="54" customWidth="1"/>
    <col min="11786" max="11786" width="13.3984375" style="54" customWidth="1"/>
    <col min="11787" max="11787" width="15.19921875" style="54" bestFit="1" customWidth="1"/>
    <col min="11788" max="11788" width="16.296875" style="54" bestFit="1" customWidth="1"/>
    <col min="11789" max="11789" width="13" style="54" customWidth="1"/>
    <col min="11790" max="11791" width="16.296875" style="54" bestFit="1" customWidth="1"/>
    <col min="11792" max="11792" width="12.69921875" style="54" bestFit="1" customWidth="1"/>
    <col min="11793" max="12032" width="8.19921875" style="54"/>
    <col min="12033" max="12033" width="22.5" style="54" customWidth="1"/>
    <col min="12034" max="12034" width="15.3984375" style="54" customWidth="1"/>
    <col min="12035" max="12035" width="14.5" style="54" customWidth="1"/>
    <col min="12036" max="12036" width="15.19921875" style="54" bestFit="1" customWidth="1"/>
    <col min="12037" max="12037" width="15.3984375" style="54" customWidth="1"/>
    <col min="12038" max="12038" width="14.8984375" style="54" customWidth="1"/>
    <col min="12039" max="12039" width="17" style="54" bestFit="1" customWidth="1"/>
    <col min="12040" max="12040" width="14.69921875" style="54" customWidth="1"/>
    <col min="12041" max="12041" width="14.296875" style="54" customWidth="1"/>
    <col min="12042" max="12042" width="13.3984375" style="54" customWidth="1"/>
    <col min="12043" max="12043" width="15.19921875" style="54" bestFit="1" customWidth="1"/>
    <col min="12044" max="12044" width="16.296875" style="54" bestFit="1" customWidth="1"/>
    <col min="12045" max="12045" width="13" style="54" customWidth="1"/>
    <col min="12046" max="12047" width="16.296875" style="54" bestFit="1" customWidth="1"/>
    <col min="12048" max="12048" width="12.69921875" style="54" bestFit="1" customWidth="1"/>
    <col min="12049" max="12288" width="8.19921875" style="54"/>
    <col min="12289" max="12289" width="22.5" style="54" customWidth="1"/>
    <col min="12290" max="12290" width="15.3984375" style="54" customWidth="1"/>
    <col min="12291" max="12291" width="14.5" style="54" customWidth="1"/>
    <col min="12292" max="12292" width="15.19921875" style="54" bestFit="1" customWidth="1"/>
    <col min="12293" max="12293" width="15.3984375" style="54" customWidth="1"/>
    <col min="12294" max="12294" width="14.8984375" style="54" customWidth="1"/>
    <col min="12295" max="12295" width="17" style="54" bestFit="1" customWidth="1"/>
    <col min="12296" max="12296" width="14.69921875" style="54" customWidth="1"/>
    <col min="12297" max="12297" width="14.296875" style="54" customWidth="1"/>
    <col min="12298" max="12298" width="13.3984375" style="54" customWidth="1"/>
    <col min="12299" max="12299" width="15.19921875" style="54" bestFit="1" customWidth="1"/>
    <col min="12300" max="12300" width="16.296875" style="54" bestFit="1" customWidth="1"/>
    <col min="12301" max="12301" width="13" style="54" customWidth="1"/>
    <col min="12302" max="12303" width="16.296875" style="54" bestFit="1" customWidth="1"/>
    <col min="12304" max="12304" width="12.69921875" style="54" bestFit="1" customWidth="1"/>
    <col min="12305" max="12544" width="8.19921875" style="54"/>
    <col min="12545" max="12545" width="22.5" style="54" customWidth="1"/>
    <col min="12546" max="12546" width="15.3984375" style="54" customWidth="1"/>
    <col min="12547" max="12547" width="14.5" style="54" customWidth="1"/>
    <col min="12548" max="12548" width="15.19921875" style="54" bestFit="1" customWidth="1"/>
    <col min="12549" max="12549" width="15.3984375" style="54" customWidth="1"/>
    <col min="12550" max="12550" width="14.8984375" style="54" customWidth="1"/>
    <col min="12551" max="12551" width="17" style="54" bestFit="1" customWidth="1"/>
    <col min="12552" max="12552" width="14.69921875" style="54" customWidth="1"/>
    <col min="12553" max="12553" width="14.296875" style="54" customWidth="1"/>
    <col min="12554" max="12554" width="13.3984375" style="54" customWidth="1"/>
    <col min="12555" max="12555" width="15.19921875" style="54" bestFit="1" customWidth="1"/>
    <col min="12556" max="12556" width="16.296875" style="54" bestFit="1" customWidth="1"/>
    <col min="12557" max="12557" width="13" style="54" customWidth="1"/>
    <col min="12558" max="12559" width="16.296875" style="54" bestFit="1" customWidth="1"/>
    <col min="12560" max="12560" width="12.69921875" style="54" bestFit="1" customWidth="1"/>
    <col min="12561" max="12800" width="8.19921875" style="54"/>
    <col min="12801" max="12801" width="22.5" style="54" customWidth="1"/>
    <col min="12802" max="12802" width="15.3984375" style="54" customWidth="1"/>
    <col min="12803" max="12803" width="14.5" style="54" customWidth="1"/>
    <col min="12804" max="12804" width="15.19921875" style="54" bestFit="1" customWidth="1"/>
    <col min="12805" max="12805" width="15.3984375" style="54" customWidth="1"/>
    <col min="12806" max="12806" width="14.8984375" style="54" customWidth="1"/>
    <col min="12807" max="12807" width="17" style="54" bestFit="1" customWidth="1"/>
    <col min="12808" max="12808" width="14.69921875" style="54" customWidth="1"/>
    <col min="12809" max="12809" width="14.296875" style="54" customWidth="1"/>
    <col min="12810" max="12810" width="13.3984375" style="54" customWidth="1"/>
    <col min="12811" max="12811" width="15.19921875" style="54" bestFit="1" customWidth="1"/>
    <col min="12812" max="12812" width="16.296875" style="54" bestFit="1" customWidth="1"/>
    <col min="12813" max="12813" width="13" style="54" customWidth="1"/>
    <col min="12814" max="12815" width="16.296875" style="54" bestFit="1" customWidth="1"/>
    <col min="12816" max="12816" width="12.69921875" style="54" bestFit="1" customWidth="1"/>
    <col min="12817" max="13056" width="8.19921875" style="54"/>
    <col min="13057" max="13057" width="22.5" style="54" customWidth="1"/>
    <col min="13058" max="13058" width="15.3984375" style="54" customWidth="1"/>
    <col min="13059" max="13059" width="14.5" style="54" customWidth="1"/>
    <col min="13060" max="13060" width="15.19921875" style="54" bestFit="1" customWidth="1"/>
    <col min="13061" max="13061" width="15.3984375" style="54" customWidth="1"/>
    <col min="13062" max="13062" width="14.8984375" style="54" customWidth="1"/>
    <col min="13063" max="13063" width="17" style="54" bestFit="1" customWidth="1"/>
    <col min="13064" max="13064" width="14.69921875" style="54" customWidth="1"/>
    <col min="13065" max="13065" width="14.296875" style="54" customWidth="1"/>
    <col min="13066" max="13066" width="13.3984375" style="54" customWidth="1"/>
    <col min="13067" max="13067" width="15.19921875" style="54" bestFit="1" customWidth="1"/>
    <col min="13068" max="13068" width="16.296875" style="54" bestFit="1" customWidth="1"/>
    <col min="13069" max="13069" width="13" style="54" customWidth="1"/>
    <col min="13070" max="13071" width="16.296875" style="54" bestFit="1" customWidth="1"/>
    <col min="13072" max="13072" width="12.69921875" style="54" bestFit="1" customWidth="1"/>
    <col min="13073" max="13312" width="8.19921875" style="54"/>
    <col min="13313" max="13313" width="22.5" style="54" customWidth="1"/>
    <col min="13314" max="13314" width="15.3984375" style="54" customWidth="1"/>
    <col min="13315" max="13315" width="14.5" style="54" customWidth="1"/>
    <col min="13316" max="13316" width="15.19921875" style="54" bestFit="1" customWidth="1"/>
    <col min="13317" max="13317" width="15.3984375" style="54" customWidth="1"/>
    <col min="13318" max="13318" width="14.8984375" style="54" customWidth="1"/>
    <col min="13319" max="13319" width="17" style="54" bestFit="1" customWidth="1"/>
    <col min="13320" max="13320" width="14.69921875" style="54" customWidth="1"/>
    <col min="13321" max="13321" width="14.296875" style="54" customWidth="1"/>
    <col min="13322" max="13322" width="13.3984375" style="54" customWidth="1"/>
    <col min="13323" max="13323" width="15.19921875" style="54" bestFit="1" customWidth="1"/>
    <col min="13324" max="13324" width="16.296875" style="54" bestFit="1" customWidth="1"/>
    <col min="13325" max="13325" width="13" style="54" customWidth="1"/>
    <col min="13326" max="13327" width="16.296875" style="54" bestFit="1" customWidth="1"/>
    <col min="13328" max="13328" width="12.69921875" style="54" bestFit="1" customWidth="1"/>
    <col min="13329" max="13568" width="8.19921875" style="54"/>
    <col min="13569" max="13569" width="22.5" style="54" customWidth="1"/>
    <col min="13570" max="13570" width="15.3984375" style="54" customWidth="1"/>
    <col min="13571" max="13571" width="14.5" style="54" customWidth="1"/>
    <col min="13572" max="13572" width="15.19921875" style="54" bestFit="1" customWidth="1"/>
    <col min="13573" max="13573" width="15.3984375" style="54" customWidth="1"/>
    <col min="13574" max="13574" width="14.8984375" style="54" customWidth="1"/>
    <col min="13575" max="13575" width="17" style="54" bestFit="1" customWidth="1"/>
    <col min="13576" max="13576" width="14.69921875" style="54" customWidth="1"/>
    <col min="13577" max="13577" width="14.296875" style="54" customWidth="1"/>
    <col min="13578" max="13578" width="13.3984375" style="54" customWidth="1"/>
    <col min="13579" max="13579" width="15.19921875" style="54" bestFit="1" customWidth="1"/>
    <col min="13580" max="13580" width="16.296875" style="54" bestFit="1" customWidth="1"/>
    <col min="13581" max="13581" width="13" style="54" customWidth="1"/>
    <col min="13582" max="13583" width="16.296875" style="54" bestFit="1" customWidth="1"/>
    <col min="13584" max="13584" width="12.69921875" style="54" bestFit="1" customWidth="1"/>
    <col min="13585" max="13824" width="8.19921875" style="54"/>
    <col min="13825" max="13825" width="22.5" style="54" customWidth="1"/>
    <col min="13826" max="13826" width="15.3984375" style="54" customWidth="1"/>
    <col min="13827" max="13827" width="14.5" style="54" customWidth="1"/>
    <col min="13828" max="13828" width="15.19921875" style="54" bestFit="1" customWidth="1"/>
    <col min="13829" max="13829" width="15.3984375" style="54" customWidth="1"/>
    <col min="13830" max="13830" width="14.8984375" style="54" customWidth="1"/>
    <col min="13831" max="13831" width="17" style="54" bestFit="1" customWidth="1"/>
    <col min="13832" max="13832" width="14.69921875" style="54" customWidth="1"/>
    <col min="13833" max="13833" width="14.296875" style="54" customWidth="1"/>
    <col min="13834" max="13834" width="13.3984375" style="54" customWidth="1"/>
    <col min="13835" max="13835" width="15.19921875" style="54" bestFit="1" customWidth="1"/>
    <col min="13836" max="13836" width="16.296875" style="54" bestFit="1" customWidth="1"/>
    <col min="13837" max="13837" width="13" style="54" customWidth="1"/>
    <col min="13838" max="13839" width="16.296875" style="54" bestFit="1" customWidth="1"/>
    <col min="13840" max="13840" width="12.69921875" style="54" bestFit="1" customWidth="1"/>
    <col min="13841" max="14080" width="8.19921875" style="54"/>
    <col min="14081" max="14081" width="22.5" style="54" customWidth="1"/>
    <col min="14082" max="14082" width="15.3984375" style="54" customWidth="1"/>
    <col min="14083" max="14083" width="14.5" style="54" customWidth="1"/>
    <col min="14084" max="14084" width="15.19921875" style="54" bestFit="1" customWidth="1"/>
    <col min="14085" max="14085" width="15.3984375" style="54" customWidth="1"/>
    <col min="14086" max="14086" width="14.8984375" style="54" customWidth="1"/>
    <col min="14087" max="14087" width="17" style="54" bestFit="1" customWidth="1"/>
    <col min="14088" max="14088" width="14.69921875" style="54" customWidth="1"/>
    <col min="14089" max="14089" width="14.296875" style="54" customWidth="1"/>
    <col min="14090" max="14090" width="13.3984375" style="54" customWidth="1"/>
    <col min="14091" max="14091" width="15.19921875" style="54" bestFit="1" customWidth="1"/>
    <col min="14092" max="14092" width="16.296875" style="54" bestFit="1" customWidth="1"/>
    <col min="14093" max="14093" width="13" style="54" customWidth="1"/>
    <col min="14094" max="14095" width="16.296875" style="54" bestFit="1" customWidth="1"/>
    <col min="14096" max="14096" width="12.69921875" style="54" bestFit="1" customWidth="1"/>
    <col min="14097" max="14336" width="8.19921875" style="54"/>
    <col min="14337" max="14337" width="22.5" style="54" customWidth="1"/>
    <col min="14338" max="14338" width="15.3984375" style="54" customWidth="1"/>
    <col min="14339" max="14339" width="14.5" style="54" customWidth="1"/>
    <col min="14340" max="14340" width="15.19921875" style="54" bestFit="1" customWidth="1"/>
    <col min="14341" max="14341" width="15.3984375" style="54" customWidth="1"/>
    <col min="14342" max="14342" width="14.8984375" style="54" customWidth="1"/>
    <col min="14343" max="14343" width="17" style="54" bestFit="1" customWidth="1"/>
    <col min="14344" max="14344" width="14.69921875" style="54" customWidth="1"/>
    <col min="14345" max="14345" width="14.296875" style="54" customWidth="1"/>
    <col min="14346" max="14346" width="13.3984375" style="54" customWidth="1"/>
    <col min="14347" max="14347" width="15.19921875" style="54" bestFit="1" customWidth="1"/>
    <col min="14348" max="14348" width="16.296875" style="54" bestFit="1" customWidth="1"/>
    <col min="14349" max="14349" width="13" style="54" customWidth="1"/>
    <col min="14350" max="14351" width="16.296875" style="54" bestFit="1" customWidth="1"/>
    <col min="14352" max="14352" width="12.69921875" style="54" bestFit="1" customWidth="1"/>
    <col min="14353" max="14592" width="8.19921875" style="54"/>
    <col min="14593" max="14593" width="22.5" style="54" customWidth="1"/>
    <col min="14594" max="14594" width="15.3984375" style="54" customWidth="1"/>
    <col min="14595" max="14595" width="14.5" style="54" customWidth="1"/>
    <col min="14596" max="14596" width="15.19921875" style="54" bestFit="1" customWidth="1"/>
    <col min="14597" max="14597" width="15.3984375" style="54" customWidth="1"/>
    <col min="14598" max="14598" width="14.8984375" style="54" customWidth="1"/>
    <col min="14599" max="14599" width="17" style="54" bestFit="1" customWidth="1"/>
    <col min="14600" max="14600" width="14.69921875" style="54" customWidth="1"/>
    <col min="14601" max="14601" width="14.296875" style="54" customWidth="1"/>
    <col min="14602" max="14602" width="13.3984375" style="54" customWidth="1"/>
    <col min="14603" max="14603" width="15.19921875" style="54" bestFit="1" customWidth="1"/>
    <col min="14604" max="14604" width="16.296875" style="54" bestFit="1" customWidth="1"/>
    <col min="14605" max="14605" width="13" style="54" customWidth="1"/>
    <col min="14606" max="14607" width="16.296875" style="54" bestFit="1" customWidth="1"/>
    <col min="14608" max="14608" width="12.69921875" style="54" bestFit="1" customWidth="1"/>
    <col min="14609" max="14848" width="8.19921875" style="54"/>
    <col min="14849" max="14849" width="22.5" style="54" customWidth="1"/>
    <col min="14850" max="14850" width="15.3984375" style="54" customWidth="1"/>
    <col min="14851" max="14851" width="14.5" style="54" customWidth="1"/>
    <col min="14852" max="14852" width="15.19921875" style="54" bestFit="1" customWidth="1"/>
    <col min="14853" max="14853" width="15.3984375" style="54" customWidth="1"/>
    <col min="14854" max="14854" width="14.8984375" style="54" customWidth="1"/>
    <col min="14855" max="14855" width="17" style="54" bestFit="1" customWidth="1"/>
    <col min="14856" max="14856" width="14.69921875" style="54" customWidth="1"/>
    <col min="14857" max="14857" width="14.296875" style="54" customWidth="1"/>
    <col min="14858" max="14858" width="13.3984375" style="54" customWidth="1"/>
    <col min="14859" max="14859" width="15.19921875" style="54" bestFit="1" customWidth="1"/>
    <col min="14860" max="14860" width="16.296875" style="54" bestFit="1" customWidth="1"/>
    <col min="14861" max="14861" width="13" style="54" customWidth="1"/>
    <col min="14862" max="14863" width="16.296875" style="54" bestFit="1" customWidth="1"/>
    <col min="14864" max="14864" width="12.69921875" style="54" bestFit="1" customWidth="1"/>
    <col min="14865" max="15104" width="8.19921875" style="54"/>
    <col min="15105" max="15105" width="22.5" style="54" customWidth="1"/>
    <col min="15106" max="15106" width="15.3984375" style="54" customWidth="1"/>
    <col min="15107" max="15107" width="14.5" style="54" customWidth="1"/>
    <col min="15108" max="15108" width="15.19921875" style="54" bestFit="1" customWidth="1"/>
    <col min="15109" max="15109" width="15.3984375" style="54" customWidth="1"/>
    <col min="15110" max="15110" width="14.8984375" style="54" customWidth="1"/>
    <col min="15111" max="15111" width="17" style="54" bestFit="1" customWidth="1"/>
    <col min="15112" max="15112" width="14.69921875" style="54" customWidth="1"/>
    <col min="15113" max="15113" width="14.296875" style="54" customWidth="1"/>
    <col min="15114" max="15114" width="13.3984375" style="54" customWidth="1"/>
    <col min="15115" max="15115" width="15.19921875" style="54" bestFit="1" customWidth="1"/>
    <col min="15116" max="15116" width="16.296875" style="54" bestFit="1" customWidth="1"/>
    <col min="15117" max="15117" width="13" style="54" customWidth="1"/>
    <col min="15118" max="15119" width="16.296875" style="54" bestFit="1" customWidth="1"/>
    <col min="15120" max="15120" width="12.69921875" style="54" bestFit="1" customWidth="1"/>
    <col min="15121" max="15360" width="8.19921875" style="54"/>
    <col min="15361" max="15361" width="22.5" style="54" customWidth="1"/>
    <col min="15362" max="15362" width="15.3984375" style="54" customWidth="1"/>
    <col min="15363" max="15363" width="14.5" style="54" customWidth="1"/>
    <col min="15364" max="15364" width="15.19921875" style="54" bestFit="1" customWidth="1"/>
    <col min="15365" max="15365" width="15.3984375" style="54" customWidth="1"/>
    <col min="15366" max="15366" width="14.8984375" style="54" customWidth="1"/>
    <col min="15367" max="15367" width="17" style="54" bestFit="1" customWidth="1"/>
    <col min="15368" max="15368" width="14.69921875" style="54" customWidth="1"/>
    <col min="15369" max="15369" width="14.296875" style="54" customWidth="1"/>
    <col min="15370" max="15370" width="13.3984375" style="54" customWidth="1"/>
    <col min="15371" max="15371" width="15.19921875" style="54" bestFit="1" customWidth="1"/>
    <col min="15372" max="15372" width="16.296875" style="54" bestFit="1" customWidth="1"/>
    <col min="15373" max="15373" width="13" style="54" customWidth="1"/>
    <col min="15374" max="15375" width="16.296875" style="54" bestFit="1" customWidth="1"/>
    <col min="15376" max="15376" width="12.69921875" style="54" bestFit="1" customWidth="1"/>
    <col min="15377" max="15616" width="8.19921875" style="54"/>
    <col min="15617" max="15617" width="22.5" style="54" customWidth="1"/>
    <col min="15618" max="15618" width="15.3984375" style="54" customWidth="1"/>
    <col min="15619" max="15619" width="14.5" style="54" customWidth="1"/>
    <col min="15620" max="15620" width="15.19921875" style="54" bestFit="1" customWidth="1"/>
    <col min="15621" max="15621" width="15.3984375" style="54" customWidth="1"/>
    <col min="15622" max="15622" width="14.8984375" style="54" customWidth="1"/>
    <col min="15623" max="15623" width="17" style="54" bestFit="1" customWidth="1"/>
    <col min="15624" max="15624" width="14.69921875" style="54" customWidth="1"/>
    <col min="15625" max="15625" width="14.296875" style="54" customWidth="1"/>
    <col min="15626" max="15626" width="13.3984375" style="54" customWidth="1"/>
    <col min="15627" max="15627" width="15.19921875" style="54" bestFit="1" customWidth="1"/>
    <col min="15628" max="15628" width="16.296875" style="54" bestFit="1" customWidth="1"/>
    <col min="15629" max="15629" width="13" style="54" customWidth="1"/>
    <col min="15630" max="15631" width="16.296875" style="54" bestFit="1" customWidth="1"/>
    <col min="15632" max="15632" width="12.69921875" style="54" bestFit="1" customWidth="1"/>
    <col min="15633" max="15872" width="8.19921875" style="54"/>
    <col min="15873" max="15873" width="22.5" style="54" customWidth="1"/>
    <col min="15874" max="15874" width="15.3984375" style="54" customWidth="1"/>
    <col min="15875" max="15875" width="14.5" style="54" customWidth="1"/>
    <col min="15876" max="15876" width="15.19921875" style="54" bestFit="1" customWidth="1"/>
    <col min="15877" max="15877" width="15.3984375" style="54" customWidth="1"/>
    <col min="15878" max="15878" width="14.8984375" style="54" customWidth="1"/>
    <col min="15879" max="15879" width="17" style="54" bestFit="1" customWidth="1"/>
    <col min="15880" max="15880" width="14.69921875" style="54" customWidth="1"/>
    <col min="15881" max="15881" width="14.296875" style="54" customWidth="1"/>
    <col min="15882" max="15882" width="13.3984375" style="54" customWidth="1"/>
    <col min="15883" max="15883" width="15.19921875" style="54" bestFit="1" customWidth="1"/>
    <col min="15884" max="15884" width="16.296875" style="54" bestFit="1" customWidth="1"/>
    <col min="15885" max="15885" width="13" style="54" customWidth="1"/>
    <col min="15886" max="15887" width="16.296875" style="54" bestFit="1" customWidth="1"/>
    <col min="15888" max="15888" width="12.69921875" style="54" bestFit="1" customWidth="1"/>
    <col min="15889" max="16128" width="8.19921875" style="54"/>
    <col min="16129" max="16129" width="22.5" style="54" customWidth="1"/>
    <col min="16130" max="16130" width="15.3984375" style="54" customWidth="1"/>
    <col min="16131" max="16131" width="14.5" style="54" customWidth="1"/>
    <col min="16132" max="16132" width="15.19921875" style="54" bestFit="1" customWidth="1"/>
    <col min="16133" max="16133" width="15.3984375" style="54" customWidth="1"/>
    <col min="16134" max="16134" width="14.8984375" style="54" customWidth="1"/>
    <col min="16135" max="16135" width="17" style="54" bestFit="1" customWidth="1"/>
    <col min="16136" max="16136" width="14.69921875" style="54" customWidth="1"/>
    <col min="16137" max="16137" width="14.296875" style="54" customWidth="1"/>
    <col min="16138" max="16138" width="13.3984375" style="54" customWidth="1"/>
    <col min="16139" max="16139" width="15.19921875" style="54" bestFit="1" customWidth="1"/>
    <col min="16140" max="16140" width="16.296875" style="54" bestFit="1" customWidth="1"/>
    <col min="16141" max="16141" width="13" style="54" customWidth="1"/>
    <col min="16142" max="16143" width="16.296875" style="54" bestFit="1" customWidth="1"/>
    <col min="16144" max="16144" width="12.69921875" style="54" bestFit="1" customWidth="1"/>
    <col min="16145" max="16384" width="8.19921875" style="54"/>
  </cols>
  <sheetData>
    <row r="1" spans="1:16" s="2" customFormat="1" ht="23.4" x14ac:dyDescent="0.45">
      <c r="A1" s="607" t="s">
        <v>6</v>
      </c>
      <c r="B1" s="607"/>
      <c r="C1" s="607"/>
      <c r="D1" s="607"/>
      <c r="E1" s="607"/>
      <c r="F1" s="607"/>
      <c r="G1" s="607"/>
      <c r="H1" s="607"/>
      <c r="I1" s="607"/>
      <c r="J1" s="607"/>
      <c r="K1" s="3"/>
      <c r="L1" s="3"/>
      <c r="M1" s="3"/>
    </row>
    <row r="2" spans="1:16" s="2" customFormat="1" ht="23.4" x14ac:dyDescent="0.45">
      <c r="A2" s="607" t="s">
        <v>0</v>
      </c>
      <c r="B2" s="607"/>
      <c r="C2" s="607"/>
      <c r="D2" s="607"/>
      <c r="E2" s="607"/>
      <c r="F2" s="607"/>
      <c r="G2" s="607"/>
      <c r="H2" s="607"/>
      <c r="I2" s="607"/>
      <c r="J2" s="607"/>
      <c r="K2" s="3"/>
      <c r="L2" s="3"/>
      <c r="M2" s="3"/>
    </row>
    <row r="3" spans="1:16" s="2" customFormat="1" ht="23.4" x14ac:dyDescent="0.45">
      <c r="A3" s="607" t="s">
        <v>39</v>
      </c>
      <c r="B3" s="607"/>
      <c r="C3" s="607"/>
      <c r="D3" s="607"/>
      <c r="E3" s="607"/>
      <c r="F3" s="607"/>
      <c r="G3" s="607"/>
      <c r="H3" s="607"/>
      <c r="I3" s="607"/>
      <c r="J3" s="607"/>
      <c r="K3" s="3"/>
      <c r="L3" s="3"/>
      <c r="M3" s="3"/>
    </row>
    <row r="4" spans="1:16" s="2" customFormat="1" ht="23.4" x14ac:dyDescent="0.45">
      <c r="A4" s="608" t="s">
        <v>293</v>
      </c>
      <c r="B4" s="608"/>
      <c r="C4" s="608"/>
      <c r="D4" s="608"/>
      <c r="E4" s="608"/>
      <c r="F4" s="608"/>
      <c r="G4" s="608"/>
      <c r="H4" s="608"/>
      <c r="I4" s="608"/>
      <c r="J4" s="608"/>
      <c r="K4" s="3"/>
      <c r="L4" s="3"/>
      <c r="M4" s="3"/>
    </row>
    <row r="5" spans="1:16" s="2" customFormat="1" ht="23.4" x14ac:dyDescent="0.45">
      <c r="A5" s="210"/>
      <c r="B5" s="210"/>
      <c r="C5" s="210"/>
      <c r="D5" s="210"/>
      <c r="E5" s="210"/>
      <c r="F5" s="210"/>
      <c r="G5" s="210"/>
      <c r="H5" s="210"/>
      <c r="I5" s="210"/>
      <c r="J5" s="210"/>
      <c r="K5" s="3"/>
      <c r="L5" s="3"/>
      <c r="M5" s="3"/>
    </row>
    <row r="6" spans="1:16" s="2" customFormat="1" ht="23.4" x14ac:dyDescent="0.45">
      <c r="A6" s="214" t="s">
        <v>275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6" s="38" customFormat="1" ht="21" x14ac:dyDescent="0.4">
      <c r="A7" s="215"/>
      <c r="B7" s="25"/>
      <c r="C7" s="25"/>
      <c r="D7" s="25"/>
      <c r="E7" s="25"/>
      <c r="F7" s="25"/>
      <c r="G7" s="25"/>
      <c r="H7" s="25"/>
      <c r="I7" s="25"/>
      <c r="J7" s="211" t="s">
        <v>8</v>
      </c>
      <c r="K7" s="25"/>
      <c r="L7" s="25"/>
      <c r="M7" s="25"/>
    </row>
    <row r="8" spans="1:16" s="38" customFormat="1" ht="21" x14ac:dyDescent="0.4">
      <c r="A8" s="216"/>
      <c r="B8" s="609" t="s">
        <v>276</v>
      </c>
      <c r="C8" s="610"/>
      <c r="D8" s="611"/>
      <c r="E8" s="609" t="s">
        <v>294</v>
      </c>
      <c r="F8" s="610"/>
      <c r="G8" s="611"/>
      <c r="H8" s="609" t="s">
        <v>142</v>
      </c>
      <c r="I8" s="610"/>
      <c r="J8" s="611"/>
      <c r="K8" s="25"/>
      <c r="L8" s="25"/>
      <c r="M8" s="25"/>
    </row>
    <row r="9" spans="1:16" s="211" customFormat="1" ht="21" x14ac:dyDescent="0.4">
      <c r="A9" s="217" t="s">
        <v>277</v>
      </c>
      <c r="B9" s="150" t="s">
        <v>278</v>
      </c>
      <c r="C9" s="150" t="s">
        <v>279</v>
      </c>
      <c r="D9" s="150" t="s">
        <v>5</v>
      </c>
      <c r="E9" s="150" t="s">
        <v>278</v>
      </c>
      <c r="F9" s="150" t="s">
        <v>279</v>
      </c>
      <c r="G9" s="150" t="s">
        <v>5</v>
      </c>
      <c r="H9" s="150" t="s">
        <v>144</v>
      </c>
      <c r="I9" s="150" t="s">
        <v>144</v>
      </c>
      <c r="J9" s="150" t="s">
        <v>144</v>
      </c>
      <c r="K9" s="113"/>
      <c r="L9" s="113"/>
      <c r="M9" s="113"/>
    </row>
    <row r="10" spans="1:16" s="38" customFormat="1" ht="21" x14ac:dyDescent="0.4">
      <c r="A10" s="218"/>
      <c r="B10" s="150"/>
      <c r="C10" s="150"/>
      <c r="D10" s="187"/>
      <c r="E10" s="150"/>
      <c r="F10" s="150"/>
      <c r="G10" s="187"/>
      <c r="H10" s="150" t="s">
        <v>280</v>
      </c>
      <c r="I10" s="150" t="s">
        <v>223</v>
      </c>
      <c r="J10" s="39" t="s">
        <v>5</v>
      </c>
      <c r="K10" s="111"/>
      <c r="L10" s="111"/>
      <c r="M10" s="111"/>
      <c r="N10" s="219"/>
      <c r="O10" s="219"/>
      <c r="P10" s="219"/>
    </row>
    <row r="11" spans="1:16" s="38" customFormat="1" ht="21" x14ac:dyDescent="0.4">
      <c r="A11" s="218"/>
      <c r="B11" s="150"/>
      <c r="C11" s="187"/>
      <c r="D11" s="187"/>
      <c r="E11" s="150"/>
      <c r="F11" s="150"/>
      <c r="G11" s="187"/>
      <c r="H11" s="150" t="s">
        <v>281</v>
      </c>
      <c r="I11" s="150" t="s">
        <v>281</v>
      </c>
      <c r="J11" s="150" t="s">
        <v>281</v>
      </c>
      <c r="K11" s="111"/>
      <c r="L11" s="111"/>
      <c r="M11" s="111"/>
      <c r="N11" s="219"/>
      <c r="O11" s="219"/>
      <c r="P11" s="219"/>
    </row>
    <row r="12" spans="1:16" s="192" customFormat="1" ht="21" x14ac:dyDescent="0.4">
      <c r="A12" s="218"/>
      <c r="B12" s="220" t="s">
        <v>151</v>
      </c>
      <c r="C12" s="221" t="s">
        <v>152</v>
      </c>
      <c r="D12" s="220" t="s">
        <v>282</v>
      </c>
      <c r="E12" s="221" t="s">
        <v>154</v>
      </c>
      <c r="F12" s="220" t="s">
        <v>155</v>
      </c>
      <c r="G12" s="221" t="s">
        <v>283</v>
      </c>
      <c r="H12" s="220" t="s">
        <v>284</v>
      </c>
      <c r="I12" s="220" t="s">
        <v>285</v>
      </c>
      <c r="J12" s="220" t="s">
        <v>286</v>
      </c>
      <c r="K12" s="222"/>
      <c r="L12" s="222"/>
      <c r="M12" s="222"/>
    </row>
    <row r="13" spans="1:16" s="192" customFormat="1" ht="21" x14ac:dyDescent="0.4">
      <c r="A13" s="223"/>
      <c r="B13" s="224"/>
      <c r="C13" s="225"/>
      <c r="D13" s="226"/>
      <c r="E13" s="195"/>
      <c r="F13" s="224"/>
      <c r="G13" s="226"/>
      <c r="H13" s="224" t="s">
        <v>287</v>
      </c>
      <c r="I13" s="224" t="s">
        <v>288</v>
      </c>
      <c r="J13" s="224" t="s">
        <v>289</v>
      </c>
      <c r="K13" s="222"/>
      <c r="L13" s="222"/>
      <c r="M13" s="222"/>
    </row>
    <row r="14" spans="1:16" s="27" customFormat="1" ht="21" x14ac:dyDescent="0.4">
      <c r="A14" s="227" t="s">
        <v>290</v>
      </c>
      <c r="B14" s="139">
        <v>17840126.539999999</v>
      </c>
      <c r="C14" s="139">
        <v>1142786.3899999999</v>
      </c>
      <c r="D14" s="117">
        <f>SUM(B14:C14)+0.01</f>
        <v>18982912.940000001</v>
      </c>
      <c r="E14" s="139">
        <v>13588443.91</v>
      </c>
      <c r="F14" s="139">
        <v>591027.77</v>
      </c>
      <c r="G14" s="117">
        <f>SUM(E14:F14)</f>
        <v>14179471.68</v>
      </c>
      <c r="H14" s="525"/>
      <c r="I14" s="525"/>
      <c r="J14" s="526"/>
      <c r="K14" s="13"/>
      <c r="L14" s="13"/>
      <c r="M14" s="13"/>
    </row>
    <row r="15" spans="1:16" s="27" customFormat="1" ht="21" x14ac:dyDescent="0.4">
      <c r="A15" s="227" t="s">
        <v>291</v>
      </c>
      <c r="B15" s="139">
        <v>952709158.46000004</v>
      </c>
      <c r="C15" s="139">
        <v>0</v>
      </c>
      <c r="D15" s="117">
        <f>SUM(B15:C15)</f>
        <v>952709158.46000004</v>
      </c>
      <c r="E15" s="139">
        <v>975059519.26999998</v>
      </c>
      <c r="F15" s="139">
        <v>0</v>
      </c>
      <c r="G15" s="117">
        <f>SUM(E15:F15)</f>
        <v>975059519.26999998</v>
      </c>
      <c r="H15" s="523"/>
      <c r="I15" s="117"/>
      <c r="J15" s="524"/>
      <c r="K15" s="13"/>
      <c r="L15" s="13"/>
      <c r="M15" s="13"/>
      <c r="N15" s="13"/>
    </row>
    <row r="16" spans="1:16" s="27" customFormat="1" ht="21" x14ac:dyDescent="0.4">
      <c r="A16" s="227" t="s">
        <v>221</v>
      </c>
      <c r="B16" s="139">
        <v>0</v>
      </c>
      <c r="C16" s="139">
        <v>7455388.79</v>
      </c>
      <c r="D16" s="117">
        <f>SUM(B16:C16)</f>
        <v>7455388.79</v>
      </c>
      <c r="E16" s="139">
        <v>0</v>
      </c>
      <c r="F16" s="139">
        <v>8559532.9000000004</v>
      </c>
      <c r="G16" s="117">
        <f>SUM(E16:F16)</f>
        <v>8559532.9000000004</v>
      </c>
      <c r="H16" s="522"/>
      <c r="I16" s="117"/>
      <c r="J16" s="524"/>
      <c r="K16" s="13"/>
      <c r="L16" s="13"/>
      <c r="M16" s="13"/>
      <c r="N16" s="13"/>
      <c r="O16" s="13"/>
    </row>
    <row r="17" spans="1:13" s="27" customFormat="1" ht="21" x14ac:dyDescent="0.4">
      <c r="A17" s="502" t="s">
        <v>292</v>
      </c>
      <c r="B17" s="139">
        <v>11903376.359999999</v>
      </c>
      <c r="C17" s="139">
        <v>0</v>
      </c>
      <c r="D17" s="117">
        <f>SUM(B17:C17)</f>
        <v>11903376.359999999</v>
      </c>
      <c r="E17" s="139">
        <v>12492582.939999999</v>
      </c>
      <c r="F17" s="139">
        <v>0</v>
      </c>
      <c r="G17" s="117">
        <f>SUM(E17:F17)</f>
        <v>12492582.939999999</v>
      </c>
      <c r="H17" s="523"/>
      <c r="I17" s="117"/>
      <c r="J17" s="117"/>
      <c r="K17" s="13"/>
      <c r="L17" s="13"/>
      <c r="M17" s="13"/>
    </row>
    <row r="18" spans="1:13" s="27" customFormat="1" ht="21" x14ac:dyDescent="0.4">
      <c r="A18" s="228"/>
      <c r="B18" s="229"/>
      <c r="C18" s="229"/>
      <c r="D18" s="187"/>
      <c r="E18" s="229"/>
      <c r="F18" s="229"/>
      <c r="G18" s="187"/>
      <c r="H18" s="523"/>
      <c r="I18" s="230"/>
      <c r="J18" s="181"/>
      <c r="K18" s="13"/>
      <c r="L18" s="13"/>
      <c r="M18" s="13"/>
    </row>
    <row r="19" spans="1:13" s="38" customFormat="1" ht="21.6" thickBot="1" x14ac:dyDescent="0.45">
      <c r="A19" s="231" t="s">
        <v>17</v>
      </c>
      <c r="B19" s="122">
        <f>SUM(B14:B17)</f>
        <v>982452661.36000001</v>
      </c>
      <c r="C19" s="122">
        <f>SUM(C14:C17)</f>
        <v>8598175.1799999997</v>
      </c>
      <c r="D19" s="122">
        <f>SUM(D14:D18)</f>
        <v>991050836.55000007</v>
      </c>
      <c r="E19" s="122">
        <f>SUM(E14:E18)</f>
        <v>1001140546.12</v>
      </c>
      <c r="F19" s="122">
        <f>SUM(F14:F18)</f>
        <v>9150560.6699999999</v>
      </c>
      <c r="G19" s="122">
        <f>SUM(G14:G18)</f>
        <v>1010291106.79</v>
      </c>
      <c r="H19" s="122">
        <f>SUM(E19-B19)*100/B19</f>
        <v>1.9021664345771661</v>
      </c>
      <c r="I19" s="122">
        <f>SUM(F19-C19)*100/C19</f>
        <v>6.4244502866711803</v>
      </c>
      <c r="J19" s="122">
        <f>SUM(G19-D19)*100/D19</f>
        <v>1.941400938318989</v>
      </c>
      <c r="K19" s="25"/>
      <c r="L19" s="25"/>
      <c r="M19" s="25"/>
    </row>
    <row r="20" spans="1:13" ht="18.600000000000001" thickTop="1" x14ac:dyDescent="0.35">
      <c r="A20" s="232"/>
    </row>
    <row r="21" spans="1:13" s="27" customFormat="1" ht="21" x14ac:dyDescent="0.4">
      <c r="A21" s="233"/>
      <c r="B21" s="13"/>
      <c r="C21" s="13"/>
      <c r="D21" s="25"/>
      <c r="E21" s="13"/>
      <c r="F21" s="13"/>
      <c r="G21" s="25"/>
      <c r="H21" s="13"/>
      <c r="I21" s="13"/>
      <c r="J21" s="13"/>
      <c r="K21" s="13"/>
      <c r="L21" s="13"/>
      <c r="M21" s="13"/>
    </row>
    <row r="22" spans="1:13" s="27" customFormat="1" ht="21" x14ac:dyDescent="0.4">
      <c r="A22" s="233"/>
      <c r="B22" s="13"/>
      <c r="C22" s="13"/>
      <c r="D22" s="25"/>
      <c r="E22" s="234"/>
      <c r="F22" s="13"/>
      <c r="G22" s="25"/>
      <c r="H22" s="13"/>
      <c r="I22" s="13"/>
      <c r="J22" s="13"/>
      <c r="K22" s="13"/>
      <c r="L22" s="13"/>
      <c r="M22" s="13"/>
    </row>
    <row r="23" spans="1:13" x14ac:dyDescent="0.35">
      <c r="A23" s="235"/>
    </row>
    <row r="24" spans="1:13" x14ac:dyDescent="0.35">
      <c r="A24" s="235"/>
    </row>
    <row r="25" spans="1:13" s="27" customFormat="1" ht="21" x14ac:dyDescent="0.4">
      <c r="A25" s="233"/>
      <c r="B25" s="13"/>
      <c r="C25" s="13"/>
      <c r="D25" s="25"/>
      <c r="E25" s="13"/>
      <c r="F25" s="13"/>
      <c r="G25" s="25"/>
      <c r="H25" s="13"/>
      <c r="I25" s="13"/>
      <c r="J25" s="13"/>
      <c r="K25" s="13"/>
      <c r="L25" s="13"/>
      <c r="M25" s="13"/>
    </row>
  </sheetData>
  <mergeCells count="7">
    <mergeCell ref="A1:J1"/>
    <mergeCell ref="A2:J2"/>
    <mergeCell ref="A3:J3"/>
    <mergeCell ref="A4:J4"/>
    <mergeCell ref="B8:D8"/>
    <mergeCell ref="E8:G8"/>
    <mergeCell ref="H8:J8"/>
  </mergeCells>
  <pageMargins left="0.11811023622047245" right="0.11811023622047245" top="0.74803149606299213" bottom="0.74803149606299213" header="0.31496062992125984" footer="0.31496062992125984"/>
  <pageSetup paperSize="5" orientation="landscape" r:id="rId1"/>
  <headerFooter>
    <oddHeader>&amp;R16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12</vt:i4>
      </vt:variant>
      <vt:variant>
        <vt:lpstr>ช่วงที่มีชื่อ</vt:lpstr>
      </vt:variant>
      <vt:variant>
        <vt:i4>7</vt:i4>
      </vt:variant>
    </vt:vector>
  </HeadingPairs>
  <TitlesOfParts>
    <vt:vector size="19" baseType="lpstr">
      <vt:lpstr>ตารางที่ 1ส่ง</vt:lpstr>
      <vt:lpstr>ตารางที่ 2ส่ง</vt:lpstr>
      <vt:lpstr>ตารางที่ 3ส่ง</vt:lpstr>
      <vt:lpstr>ตารางที่ 4 ส่ง</vt:lpstr>
      <vt:lpstr>ตารางที่ 5 ส่ง</vt:lpstr>
      <vt:lpstr>ตารางที่ 6 ส่ง</vt:lpstr>
      <vt:lpstr>ตารางที่ 7 ส่ง</vt:lpstr>
      <vt:lpstr>ตารางที่ 8 ส่ง</vt:lpstr>
      <vt:lpstr>ตารางที่ 9 ส่ง</vt:lpstr>
      <vt:lpstr>ตารางที่ 10 ส่ง</vt:lpstr>
      <vt:lpstr>ตารางที่ 11 ส่ง</vt:lpstr>
      <vt:lpstr>ตารางที่ 12 ส่ง</vt:lpstr>
      <vt:lpstr>'ตารางที่ 9 ส่ง'!Print_Area</vt:lpstr>
      <vt:lpstr>'ตารางที่ 11 ส่ง'!Print_Titles</vt:lpstr>
      <vt:lpstr>'ตารางที่ 2ส่ง'!Print_Titles</vt:lpstr>
      <vt:lpstr>'ตารางที่ 3ส่ง'!Print_Titles</vt:lpstr>
      <vt:lpstr>'ตารางที่ 4 ส่ง'!Print_Titles</vt:lpstr>
      <vt:lpstr>'ตารางที่ 5 ส่ง'!Print_Titles</vt:lpstr>
      <vt:lpstr>'ตารางที่ 7 ส่ง'!Print_Titles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cp:lastPrinted>2019-03-19T07:32:27Z</cp:lastPrinted>
  <dcterms:created xsi:type="dcterms:W3CDTF">2019-02-01T08:58:12Z</dcterms:created>
  <dcterms:modified xsi:type="dcterms:W3CDTF">2019-03-19T08:24:57Z</dcterms:modified>
</cp:coreProperties>
</file>