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 defaultThemeVersion="124226"/>
  <bookViews>
    <workbookView xWindow="285" yWindow="705" windowWidth="15090" windowHeight="7515" tabRatio="993"/>
  </bookViews>
  <sheets>
    <sheet name="ตารางที่ 1 ส่ง" sheetId="33" r:id="rId1"/>
    <sheet name="ตารางที่ 2 ส่ง" sheetId="34" r:id="rId2"/>
    <sheet name="ตารางที่ 3 ส่ง" sheetId="35" r:id="rId3"/>
    <sheet name="ตารางที่ 4 ส่ง" sheetId="36" r:id="rId4"/>
    <sheet name="ตารางที่ 5 ส่ง" sheetId="37" r:id="rId5"/>
    <sheet name="ตารางที่ 6 ส่ง" sheetId="5" r:id="rId6"/>
    <sheet name="ตารางที่ 7" sheetId="39" r:id="rId7"/>
    <sheet name="ตารางที่ 7 ต่อ " sheetId="29" r:id="rId8"/>
    <sheet name="ตารางที่ 8 ส่ง" sheetId="10" r:id="rId9"/>
    <sheet name="ตารางที่ 8 ต่อ" sheetId="11" r:id="rId10"/>
    <sheet name="ตารางที่ 9 ส่ง" sheetId="12" r:id="rId11"/>
    <sheet name="ตารางที่ 9 ต่อ" sheetId="14" r:id="rId12"/>
    <sheet name="ตารางที่ 10 ส่ง" sheetId="13" r:id="rId13"/>
    <sheet name="ตารางที่ 11 ส่ง" sheetId="19" r:id="rId14"/>
    <sheet name="ตารางที่ 11 ต่อ" sheetId="26" r:id="rId15"/>
    <sheet name="ตารางที่ 12 ส่ง" sheetId="17" r:id="rId16"/>
  </sheets>
  <externalReferences>
    <externalReference r:id="rId17"/>
  </externalReferences>
  <definedNames>
    <definedName name="_xlnm._FilterDatabase" localSheetId="1" hidden="1">'ตารางที่ 2 ส่ง'!$A$1:$N$18</definedName>
    <definedName name="_xlnm._FilterDatabase" localSheetId="2" hidden="1">'ตารางที่ 3 ส่ง'!$A$1:$I$78</definedName>
    <definedName name="_xlnm._FilterDatabase" localSheetId="8" hidden="1">'ตารางที่ 8 ส่ง'!$A$18:$J$36</definedName>
    <definedName name="_xlnm._FilterDatabase" localSheetId="10" hidden="1">'ตารางที่ 9 ส่ง'!$A$8:$T$27</definedName>
    <definedName name="_xlnm.Print_Area" localSheetId="13">'ตารางที่ 11 ส่ง'!$A$1:$AA$43</definedName>
    <definedName name="_xlnm.Print_Area" localSheetId="3">'ตารางที่ 4 ส่ง'!$A$1:$L$28</definedName>
    <definedName name="_xlnm.Print_Area" localSheetId="5">'ตารางที่ 6 ส่ง'!$A$1:$I$14</definedName>
    <definedName name="_xlnm.Print_Area" localSheetId="6">'ตารางที่ 7'!$A$1:$V$73</definedName>
    <definedName name="_xlnm.Print_Titles" localSheetId="14">'ตารางที่ 11 ต่อ'!$1:$2</definedName>
    <definedName name="_xlnm.Print_Titles" localSheetId="13">'ตารางที่ 11 ส่ง'!$7:$14</definedName>
    <definedName name="_xlnm.Print_Titles" localSheetId="1">'ตารางที่ 2 ส่ง'!$6:$8</definedName>
    <definedName name="_xlnm.Print_Titles" localSheetId="2">'ตารางที่ 3 ส่ง'!$7:$8</definedName>
    <definedName name="_xlnm.Print_Titles" localSheetId="6">'ตารางที่ 7'!$9:$13</definedName>
    <definedName name="_xlnm.Print_Titles" localSheetId="7">'ตารางที่ 7 ต่อ '!$1:$2</definedName>
    <definedName name="_xlnm.Print_Titles" localSheetId="9">'ตารางที่ 8 ต่อ'!$1:$2</definedName>
    <definedName name="_xlnm.Print_Titles" localSheetId="11">'ตารางที่ 9 ต่อ'!$1:$2</definedName>
  </definedNames>
  <calcPr calcId="124519"/>
</workbook>
</file>

<file path=xl/calcChain.xml><?xml version="1.0" encoding="utf-8"?>
<calcChain xmlns="http://schemas.openxmlformats.org/spreadsheetml/2006/main">
  <c r="S37" i="39"/>
  <c r="S38"/>
  <c r="S39"/>
  <c r="S40"/>
  <c r="S41"/>
  <c r="S42"/>
  <c r="S43"/>
  <c r="S44"/>
  <c r="S45"/>
  <c r="S46"/>
  <c r="S47"/>
  <c r="S48"/>
  <c r="S49"/>
  <c r="S50"/>
  <c r="S51"/>
  <c r="S53"/>
  <c r="S54"/>
  <c r="S55"/>
  <c r="S56"/>
  <c r="S57"/>
  <c r="S60"/>
  <c r="S61"/>
  <c r="S62"/>
  <c r="S63"/>
  <c r="S64"/>
  <c r="S65"/>
  <c r="S66"/>
  <c r="S67"/>
  <c r="S68"/>
  <c r="S69"/>
  <c r="S70"/>
  <c r="S71"/>
  <c r="S72"/>
  <c r="F56"/>
  <c r="I56" s="1"/>
  <c r="F50"/>
  <c r="I50" s="1"/>
  <c r="F49"/>
  <c r="I49" s="1"/>
  <c r="F47"/>
  <c r="I47" s="1"/>
  <c r="F55"/>
  <c r="I55" s="1"/>
  <c r="F54"/>
  <c r="I54" s="1"/>
  <c r="F53"/>
  <c r="I53" s="1"/>
  <c r="T53" s="1"/>
  <c r="F52"/>
  <c r="F51"/>
  <c r="I51" s="1"/>
  <c r="F48"/>
  <c r="I48" s="1"/>
  <c r="F46"/>
  <c r="I46" s="1"/>
  <c r="F45"/>
  <c r="I45" s="1"/>
  <c r="R53" l="1"/>
  <c r="S16"/>
  <c r="S17"/>
  <c r="S18"/>
  <c r="S19"/>
  <c r="S20"/>
  <c r="S21"/>
  <c r="S22"/>
  <c r="S23"/>
  <c r="S24"/>
  <c r="S25"/>
  <c r="E43" i="35"/>
  <c r="E42"/>
  <c r="E45"/>
  <c r="D45"/>
  <c r="D43"/>
  <c r="D42"/>
  <c r="B45"/>
  <c r="B43"/>
  <c r="B42"/>
  <c r="C42"/>
  <c r="E17"/>
  <c r="D17"/>
  <c r="C17"/>
  <c r="B17"/>
  <c r="E18"/>
  <c r="D18"/>
  <c r="C18"/>
  <c r="B19" i="36"/>
  <c r="B11"/>
  <c r="B10"/>
  <c r="F19" i="17"/>
  <c r="E19"/>
  <c r="C19"/>
  <c r="H17"/>
  <c r="G17"/>
  <c r="D17"/>
  <c r="I16"/>
  <c r="G16"/>
  <c r="D16"/>
  <c r="H15"/>
  <c r="G15"/>
  <c r="D15"/>
  <c r="I14"/>
  <c r="G14"/>
  <c r="G19" s="1"/>
  <c r="B14"/>
  <c r="H14" s="1"/>
  <c r="O26" i="13"/>
  <c r="M26"/>
  <c r="L26"/>
  <c r="K26"/>
  <c r="J26"/>
  <c r="G26"/>
  <c r="E26"/>
  <c r="D26"/>
  <c r="C26"/>
  <c r="B26"/>
  <c r="N24"/>
  <c r="F24"/>
  <c r="I24" s="1"/>
  <c r="S22"/>
  <c r="N22"/>
  <c r="F22"/>
  <c r="I22" s="1"/>
  <c r="N20"/>
  <c r="I20"/>
  <c r="F20"/>
  <c r="Q18"/>
  <c r="N18"/>
  <c r="S17"/>
  <c r="N17"/>
  <c r="F17"/>
  <c r="I17" s="1"/>
  <c r="N15"/>
  <c r="N26" s="1"/>
  <c r="F15"/>
  <c r="J15" i="17" l="1"/>
  <c r="J17"/>
  <c r="J16"/>
  <c r="B19"/>
  <c r="H19" s="1"/>
  <c r="D14"/>
  <c r="D19" s="1"/>
  <c r="J19" s="1"/>
  <c r="I19"/>
  <c r="Q26" i="13"/>
  <c r="R17"/>
  <c r="R22"/>
  <c r="F26"/>
  <c r="I26" s="1"/>
  <c r="Q15"/>
  <c r="Q17"/>
  <c r="Q22"/>
  <c r="S26"/>
  <c r="N71" i="39"/>
  <c r="N70"/>
  <c r="N69"/>
  <c r="N68"/>
  <c r="N67"/>
  <c r="N66"/>
  <c r="N65"/>
  <c r="N64"/>
  <c r="N63"/>
  <c r="N62"/>
  <c r="M61"/>
  <c r="L61"/>
  <c r="K61"/>
  <c r="J61"/>
  <c r="M60"/>
  <c r="M35" s="1"/>
  <c r="L60"/>
  <c r="L35" s="1"/>
  <c r="K60"/>
  <c r="K35" s="1"/>
  <c r="J60"/>
  <c r="N59"/>
  <c r="Q59" s="1"/>
  <c r="N58"/>
  <c r="Q58" s="1"/>
  <c r="N57"/>
  <c r="N56"/>
  <c r="N55"/>
  <c r="R55" s="1"/>
  <c r="N54"/>
  <c r="R54" s="1"/>
  <c r="N51"/>
  <c r="R51" s="1"/>
  <c r="N50"/>
  <c r="N49"/>
  <c r="N48"/>
  <c r="R48" s="1"/>
  <c r="N47"/>
  <c r="N46"/>
  <c r="R46" s="1"/>
  <c r="N45"/>
  <c r="R45" s="1"/>
  <c r="N44"/>
  <c r="N43"/>
  <c r="N42"/>
  <c r="N41"/>
  <c r="N40"/>
  <c r="N39"/>
  <c r="N38"/>
  <c r="N37"/>
  <c r="N36"/>
  <c r="Q36" s="1"/>
  <c r="N72"/>
  <c r="Q47" l="1"/>
  <c r="T47" s="1"/>
  <c r="R47"/>
  <c r="Q49"/>
  <c r="T49" s="1"/>
  <c r="R49"/>
  <c r="Q57"/>
  <c r="Q50"/>
  <c r="T50" s="1"/>
  <c r="R50"/>
  <c r="Q56"/>
  <c r="T56" s="1"/>
  <c r="R56"/>
  <c r="N61"/>
  <c r="R26" i="13"/>
  <c r="Q39" i="39"/>
  <c r="Q41"/>
  <c r="Q43"/>
  <c r="Q61"/>
  <c r="Q62"/>
  <c r="Q64"/>
  <c r="Q66"/>
  <c r="Q68"/>
  <c r="Q70"/>
  <c r="Q38"/>
  <c r="Q40"/>
  <c r="Q42"/>
  <c r="Q44"/>
  <c r="Q63"/>
  <c r="Q65"/>
  <c r="Q67"/>
  <c r="Q69"/>
  <c r="Q71"/>
  <c r="Q48"/>
  <c r="T48" s="1"/>
  <c r="Q45"/>
  <c r="T45" s="1"/>
  <c r="Q51"/>
  <c r="T51" s="1"/>
  <c r="Q55"/>
  <c r="T55" s="1"/>
  <c r="Q46"/>
  <c r="T46" s="1"/>
  <c r="Q54"/>
  <c r="T54" s="1"/>
  <c r="N60"/>
  <c r="J35"/>
  <c r="Q37"/>
  <c r="J14" i="17"/>
  <c r="T22" i="13"/>
  <c r="T17"/>
  <c r="T26"/>
  <c r="Q60" i="39" l="1"/>
  <c r="G29" i="37"/>
  <c r="E28"/>
  <c r="D28"/>
  <c r="C28"/>
  <c r="B28"/>
  <c r="F28" s="1"/>
  <c r="I28" s="1"/>
  <c r="E27"/>
  <c r="D27"/>
  <c r="C27"/>
  <c r="B27"/>
  <c r="F27" s="1"/>
  <c r="I27" s="1"/>
  <c r="E25"/>
  <c r="D25"/>
  <c r="C25"/>
  <c r="B25"/>
  <c r="F25" s="1"/>
  <c r="I25" s="1"/>
  <c r="E24"/>
  <c r="D24"/>
  <c r="C24"/>
  <c r="B24"/>
  <c r="F24" s="1"/>
  <c r="I24" s="1"/>
  <c r="E23"/>
  <c r="D23"/>
  <c r="C23"/>
  <c r="B23"/>
  <c r="F23" s="1"/>
  <c r="I23" s="1"/>
  <c r="E22"/>
  <c r="D22"/>
  <c r="C22"/>
  <c r="B22"/>
  <c r="F22" s="1"/>
  <c r="I22" s="1"/>
  <c r="E21"/>
  <c r="D21"/>
  <c r="C21"/>
  <c r="B21"/>
  <c r="F21" s="1"/>
  <c r="I21" s="1"/>
  <c r="E20"/>
  <c r="D20"/>
  <c r="C20"/>
  <c r="B20"/>
  <c r="F20" s="1"/>
  <c r="I20" s="1"/>
  <c r="E19"/>
  <c r="D19"/>
  <c r="C19"/>
  <c r="B19"/>
  <c r="F19" s="1"/>
  <c r="I19" s="1"/>
  <c r="F18"/>
  <c r="E17"/>
  <c r="D17"/>
  <c r="C17"/>
  <c r="B17"/>
  <c r="F17" s="1"/>
  <c r="I17" s="1"/>
  <c r="E16"/>
  <c r="D16"/>
  <c r="C16"/>
  <c r="B16"/>
  <c r="F16" s="1"/>
  <c r="I16" s="1"/>
  <c r="F15"/>
  <c r="E14"/>
  <c r="D14"/>
  <c r="C14"/>
  <c r="B14"/>
  <c r="F14" s="1"/>
  <c r="I14" s="1"/>
  <c r="E13"/>
  <c r="D13"/>
  <c r="C13"/>
  <c r="B13"/>
  <c r="F13" s="1"/>
  <c r="I13" s="1"/>
  <c r="E12"/>
  <c r="D12"/>
  <c r="C12"/>
  <c r="B12"/>
  <c r="F12" s="1"/>
  <c r="I12" s="1"/>
  <c r="E11"/>
  <c r="E29" s="1"/>
  <c r="D11"/>
  <c r="D29" s="1"/>
  <c r="C11"/>
  <c r="C29" s="1"/>
  <c r="B11"/>
  <c r="B29" s="1"/>
  <c r="E9"/>
  <c r="D9"/>
  <c r="C9"/>
  <c r="B9"/>
  <c r="F9" s="1"/>
  <c r="I9" s="1"/>
  <c r="F11" l="1"/>
  <c r="U34" i="19"/>
  <c r="T34"/>
  <c r="S34"/>
  <c r="P34"/>
  <c r="O34"/>
  <c r="N34"/>
  <c r="O36" i="12"/>
  <c r="G36"/>
  <c r="E36"/>
  <c r="D36"/>
  <c r="C36"/>
  <c r="B36"/>
  <c r="F36" s="1"/>
  <c r="I36" s="1"/>
  <c r="S34"/>
  <c r="F34"/>
  <c r="I34" s="1"/>
  <c r="S32"/>
  <c r="F32"/>
  <c r="I32" s="1"/>
  <c r="S31"/>
  <c r="F31"/>
  <c r="I31" s="1"/>
  <c r="S30"/>
  <c r="F30"/>
  <c r="I30" s="1"/>
  <c r="S29"/>
  <c r="N29"/>
  <c r="F29"/>
  <c r="I29" s="1"/>
  <c r="T29" s="1"/>
  <c r="S28"/>
  <c r="F28"/>
  <c r="I28" s="1"/>
  <c r="S27"/>
  <c r="N27"/>
  <c r="R27" s="1"/>
  <c r="F27"/>
  <c r="I27" s="1"/>
  <c r="T27" s="1"/>
  <c r="S26"/>
  <c r="F26"/>
  <c r="I26" s="1"/>
  <c r="S25"/>
  <c r="J25"/>
  <c r="F25"/>
  <c r="I25" s="1"/>
  <c r="S24"/>
  <c r="F24"/>
  <c r="I24" s="1"/>
  <c r="S19"/>
  <c r="J19"/>
  <c r="F19"/>
  <c r="I19" s="1"/>
  <c r="S18"/>
  <c r="J18"/>
  <c r="F18"/>
  <c r="I18" s="1"/>
  <c r="O36" i="10"/>
  <c r="W42" i="19"/>
  <c r="R42"/>
  <c r="X42" s="1"/>
  <c r="K42"/>
  <c r="F42"/>
  <c r="W41"/>
  <c r="R41"/>
  <c r="K41"/>
  <c r="F41"/>
  <c r="L41" s="1"/>
  <c r="W40"/>
  <c r="R40"/>
  <c r="K40"/>
  <c r="F40"/>
  <c r="Y40" s="1"/>
  <c r="W39"/>
  <c r="R39"/>
  <c r="K39"/>
  <c r="F39"/>
  <c r="L39" s="1"/>
  <c r="W38"/>
  <c r="R38"/>
  <c r="K38"/>
  <c r="F38"/>
  <c r="Y38" s="1"/>
  <c r="W37"/>
  <c r="R37"/>
  <c r="K37"/>
  <c r="F37"/>
  <c r="L37" s="1"/>
  <c r="W36"/>
  <c r="R36"/>
  <c r="K36"/>
  <c r="F36"/>
  <c r="Y36" s="1"/>
  <c r="W35"/>
  <c r="R35"/>
  <c r="K35"/>
  <c r="F35"/>
  <c r="L35" s="1"/>
  <c r="W34"/>
  <c r="R34"/>
  <c r="K34"/>
  <c r="D34"/>
  <c r="C34"/>
  <c r="W33"/>
  <c r="R33"/>
  <c r="K33"/>
  <c r="F33"/>
  <c r="Y33" s="1"/>
  <c r="W32"/>
  <c r="R32"/>
  <c r="K32"/>
  <c r="F32"/>
  <c r="W31"/>
  <c r="R31"/>
  <c r="K31"/>
  <c r="F31"/>
  <c r="W30"/>
  <c r="R30"/>
  <c r="K30"/>
  <c r="B30"/>
  <c r="F30" s="1"/>
  <c r="W29"/>
  <c r="R29"/>
  <c r="K29"/>
  <c r="F29"/>
  <c r="W28"/>
  <c r="R28"/>
  <c r="K28"/>
  <c r="K27" s="1"/>
  <c r="F28"/>
  <c r="W27"/>
  <c r="V27"/>
  <c r="U27"/>
  <c r="T27"/>
  <c r="S27"/>
  <c r="Q27"/>
  <c r="P27"/>
  <c r="O27"/>
  <c r="N27"/>
  <c r="J27"/>
  <c r="I27"/>
  <c r="H27"/>
  <c r="G27"/>
  <c r="E27"/>
  <c r="D27"/>
  <c r="C27"/>
  <c r="W25"/>
  <c r="R25"/>
  <c r="K25"/>
  <c r="F25"/>
  <c r="Y25" s="1"/>
  <c r="W24"/>
  <c r="R24"/>
  <c r="K24"/>
  <c r="B24"/>
  <c r="B34" s="1"/>
  <c r="W22"/>
  <c r="R22"/>
  <c r="K22"/>
  <c r="F22"/>
  <c r="W20"/>
  <c r="R20"/>
  <c r="K20"/>
  <c r="Z20" s="1"/>
  <c r="F20"/>
  <c r="W18"/>
  <c r="R18"/>
  <c r="K18"/>
  <c r="F18"/>
  <c r="Y18" s="1"/>
  <c r="W16"/>
  <c r="R16"/>
  <c r="K16"/>
  <c r="Z16" s="1"/>
  <c r="F16"/>
  <c r="W15"/>
  <c r="V15"/>
  <c r="V43" s="1"/>
  <c r="U15"/>
  <c r="U43" s="1"/>
  <c r="T15"/>
  <c r="T43" s="1"/>
  <c r="S15"/>
  <c r="S43" s="1"/>
  <c r="R15"/>
  <c r="Q15"/>
  <c r="Q43" s="1"/>
  <c r="P15"/>
  <c r="P43" s="1"/>
  <c r="O15"/>
  <c r="O43" s="1"/>
  <c r="N15"/>
  <c r="N43" s="1"/>
  <c r="K15"/>
  <c r="J15"/>
  <c r="J43" s="1"/>
  <c r="I15"/>
  <c r="I43" s="1"/>
  <c r="H15"/>
  <c r="H43" s="1"/>
  <c r="G15"/>
  <c r="G43" s="1"/>
  <c r="E15"/>
  <c r="E43" s="1"/>
  <c r="D15"/>
  <c r="D43" s="1"/>
  <c r="C15"/>
  <c r="C43" s="1"/>
  <c r="B15"/>
  <c r="T14"/>
  <c r="O14"/>
  <c r="T12"/>
  <c r="G28" i="36"/>
  <c r="E18"/>
  <c r="M24" i="12" s="1"/>
  <c r="D18" i="36"/>
  <c r="L24" i="12" s="1"/>
  <c r="C18" i="36"/>
  <c r="K24" i="12" s="1"/>
  <c r="B18" i="36"/>
  <c r="F18" s="1"/>
  <c r="I18" s="1"/>
  <c r="F17"/>
  <c r="E16"/>
  <c r="M23" i="12" s="1"/>
  <c r="D16" i="36"/>
  <c r="L23" i="10" s="1"/>
  <c r="C16" i="36"/>
  <c r="K23" i="12" s="1"/>
  <c r="B16" i="36"/>
  <c r="J23" i="10" s="1"/>
  <c r="E15" i="36"/>
  <c r="M22" i="12" s="1"/>
  <c r="D15" i="36"/>
  <c r="L22" i="10" s="1"/>
  <c r="C15" i="36"/>
  <c r="K22" i="12" s="1"/>
  <c r="B15" i="36"/>
  <c r="J22" i="10" s="1"/>
  <c r="F14" i="36"/>
  <c r="E13"/>
  <c r="M21" i="12" s="1"/>
  <c r="D13" i="36"/>
  <c r="L21" i="10" s="1"/>
  <c r="C13" i="36"/>
  <c r="K21" i="12" s="1"/>
  <c r="B13" i="36"/>
  <c r="F13" s="1"/>
  <c r="I13" s="1"/>
  <c r="E12"/>
  <c r="M20" i="12" s="1"/>
  <c r="D12" i="36"/>
  <c r="L20" i="10" s="1"/>
  <c r="C12" i="36"/>
  <c r="K20" i="12" s="1"/>
  <c r="B12" i="36"/>
  <c r="F12" s="1"/>
  <c r="I12" s="1"/>
  <c r="E8"/>
  <c r="M16" i="12" s="1"/>
  <c r="D8" i="36"/>
  <c r="L16" i="10" s="1"/>
  <c r="C8" i="36"/>
  <c r="K16" i="12" s="1"/>
  <c r="B8" i="36"/>
  <c r="F8" s="1"/>
  <c r="I8" s="1"/>
  <c r="B23" i="35"/>
  <c r="E28"/>
  <c r="D28"/>
  <c r="C28"/>
  <c r="B28"/>
  <c r="E26"/>
  <c r="D26"/>
  <c r="C26"/>
  <c r="B26"/>
  <c r="E25"/>
  <c r="D25"/>
  <c r="C25"/>
  <c r="B25"/>
  <c r="E23"/>
  <c r="D23"/>
  <c r="C23"/>
  <c r="E22"/>
  <c r="D22"/>
  <c r="C22"/>
  <c r="B22"/>
  <c r="E21"/>
  <c r="D21"/>
  <c r="C21"/>
  <c r="B21"/>
  <c r="B18"/>
  <c r="E16"/>
  <c r="D16"/>
  <c r="C16"/>
  <c r="B16"/>
  <c r="E15"/>
  <c r="D15"/>
  <c r="C15"/>
  <c r="B15"/>
  <c r="E14"/>
  <c r="D14"/>
  <c r="C14"/>
  <c r="B14"/>
  <c r="E13"/>
  <c r="D13"/>
  <c r="C13"/>
  <c r="B13"/>
  <c r="E12"/>
  <c r="D12"/>
  <c r="C12"/>
  <c r="B12"/>
  <c r="E11"/>
  <c r="D11"/>
  <c r="C11"/>
  <c r="B11"/>
  <c r="E10"/>
  <c r="D10"/>
  <c r="C10"/>
  <c r="B10"/>
  <c r="K43" i="19" l="1"/>
  <c r="R27"/>
  <c r="R43"/>
  <c r="L16"/>
  <c r="Y16"/>
  <c r="L20"/>
  <c r="Y20"/>
  <c r="X22"/>
  <c r="L28"/>
  <c r="L29"/>
  <c r="Y29"/>
  <c r="L31"/>
  <c r="L32"/>
  <c r="Y32"/>
  <c r="Y35"/>
  <c r="Y37"/>
  <c r="Y39"/>
  <c r="Y41"/>
  <c r="R29" i="12"/>
  <c r="M16" i="10"/>
  <c r="K16"/>
  <c r="M20"/>
  <c r="K20"/>
  <c r="M21"/>
  <c r="K21"/>
  <c r="M22"/>
  <c r="K22"/>
  <c r="M23"/>
  <c r="K23"/>
  <c r="M24"/>
  <c r="K24"/>
  <c r="J16" i="12"/>
  <c r="L16"/>
  <c r="J20"/>
  <c r="L20"/>
  <c r="J21"/>
  <c r="L21"/>
  <c r="J22"/>
  <c r="L22"/>
  <c r="J23"/>
  <c r="L23"/>
  <c r="J16" i="10"/>
  <c r="J20"/>
  <c r="J21"/>
  <c r="J24"/>
  <c r="L24"/>
  <c r="J24" i="12"/>
  <c r="N23" i="10"/>
  <c r="Q23" s="1"/>
  <c r="N16"/>
  <c r="Q16" s="1"/>
  <c r="E9" i="35"/>
  <c r="D9"/>
  <c r="C9"/>
  <c r="N22" i="10"/>
  <c r="Q22" s="1"/>
  <c r="N16" i="12"/>
  <c r="Q16" s="1"/>
  <c r="N20"/>
  <c r="Q20" s="1"/>
  <c r="N22"/>
  <c r="Q22" s="1"/>
  <c r="N20" i="10"/>
  <c r="Q20" s="1"/>
  <c r="N21"/>
  <c r="Q21" s="1"/>
  <c r="N23" i="12"/>
  <c r="Q23" s="1"/>
  <c r="N21"/>
  <c r="Q21" s="1"/>
  <c r="N24"/>
  <c r="Q24" s="1"/>
  <c r="T24" s="1"/>
  <c r="I11" i="37"/>
  <c r="F29"/>
  <c r="I29" s="1"/>
  <c r="B27" i="19"/>
  <c r="F34"/>
  <c r="L30"/>
  <c r="F27"/>
  <c r="Y27" s="1"/>
  <c r="B43"/>
  <c r="Y30"/>
  <c r="X16"/>
  <c r="L18"/>
  <c r="X20"/>
  <c r="L22"/>
  <c r="X24"/>
  <c r="Z24"/>
  <c r="L25"/>
  <c r="Z27"/>
  <c r="Y28"/>
  <c r="X29"/>
  <c r="Z29"/>
  <c r="X30"/>
  <c r="Z30"/>
  <c r="Y31"/>
  <c r="X32"/>
  <c r="Z32"/>
  <c r="L33"/>
  <c r="X35"/>
  <c r="Z35"/>
  <c r="L36"/>
  <c r="X37"/>
  <c r="Z37"/>
  <c r="L38"/>
  <c r="X39"/>
  <c r="Z39"/>
  <c r="L40"/>
  <c r="X41"/>
  <c r="Z41"/>
  <c r="L42"/>
  <c r="W43"/>
  <c r="Z15"/>
  <c r="X18"/>
  <c r="Z18"/>
  <c r="F24"/>
  <c r="X25"/>
  <c r="Z25"/>
  <c r="X28"/>
  <c r="Z28"/>
  <c r="X31"/>
  <c r="Z31"/>
  <c r="X33"/>
  <c r="Z33"/>
  <c r="X34"/>
  <c r="Z34"/>
  <c r="X36"/>
  <c r="Z36"/>
  <c r="X38"/>
  <c r="Z38"/>
  <c r="X40"/>
  <c r="Z40"/>
  <c r="F15" i="36"/>
  <c r="I15" s="1"/>
  <c r="F16"/>
  <c r="I16" s="1"/>
  <c r="R24" i="12" l="1"/>
  <c r="L24" i="19"/>
  <c r="L15" s="1"/>
  <c r="F15"/>
  <c r="AA18"/>
  <c r="AA29"/>
  <c r="AA20"/>
  <c r="Y34"/>
  <c r="L34"/>
  <c r="L27" s="1"/>
  <c r="Y24"/>
  <c r="AA40"/>
  <c r="AA38"/>
  <c r="AA36"/>
  <c r="AA33"/>
  <c r="AA31"/>
  <c r="AA28"/>
  <c r="X27"/>
  <c r="AA25"/>
  <c r="Z43"/>
  <c r="AA41"/>
  <c r="AA39"/>
  <c r="AA37"/>
  <c r="AA35"/>
  <c r="AA32"/>
  <c r="AA30"/>
  <c r="AA24"/>
  <c r="AA16"/>
  <c r="X15"/>
  <c r="X43"/>
  <c r="AA34" l="1"/>
  <c r="AA15"/>
  <c r="AA27"/>
  <c r="F43"/>
  <c r="Y15"/>
  <c r="G36" i="10"/>
  <c r="C36"/>
  <c r="D36"/>
  <c r="E36"/>
  <c r="B36"/>
  <c r="S19"/>
  <c r="S24"/>
  <c r="S25"/>
  <c r="S26"/>
  <c r="S27"/>
  <c r="S28"/>
  <c r="S29"/>
  <c r="S30"/>
  <c r="S31"/>
  <c r="S32"/>
  <c r="S34"/>
  <c r="S28" i="39"/>
  <c r="S36"/>
  <c r="H73"/>
  <c r="F72"/>
  <c r="F71"/>
  <c r="R71" s="1"/>
  <c r="F70"/>
  <c r="R70" s="1"/>
  <c r="F69"/>
  <c r="R69" s="1"/>
  <c r="F68"/>
  <c r="R68" s="1"/>
  <c r="F67"/>
  <c r="R67" s="1"/>
  <c r="F66"/>
  <c r="R66" s="1"/>
  <c r="F65"/>
  <c r="R65" s="1"/>
  <c r="F64"/>
  <c r="R64" s="1"/>
  <c r="F63"/>
  <c r="R63" s="1"/>
  <c r="F62"/>
  <c r="R62" s="1"/>
  <c r="F61"/>
  <c r="R61" s="1"/>
  <c r="F60"/>
  <c r="R60" s="1"/>
  <c r="F57"/>
  <c r="F44"/>
  <c r="R44" s="1"/>
  <c r="F43"/>
  <c r="R43" s="1"/>
  <c r="F42"/>
  <c r="R42" s="1"/>
  <c r="F41"/>
  <c r="R41" s="1"/>
  <c r="F40"/>
  <c r="R40" s="1"/>
  <c r="F39"/>
  <c r="R39" s="1"/>
  <c r="F38"/>
  <c r="R38" s="1"/>
  <c r="F37"/>
  <c r="R37" s="1"/>
  <c r="F36"/>
  <c r="I36" s="1"/>
  <c r="E35"/>
  <c r="D35"/>
  <c r="C35"/>
  <c r="B35"/>
  <c r="F33"/>
  <c r="F32"/>
  <c r="F31"/>
  <c r="F30"/>
  <c r="F29"/>
  <c r="F28"/>
  <c r="I28" s="1"/>
  <c r="F25"/>
  <c r="F24"/>
  <c r="F23"/>
  <c r="N22"/>
  <c r="F22"/>
  <c r="I22" s="1"/>
  <c r="T22" s="1"/>
  <c r="F21"/>
  <c r="N20"/>
  <c r="R20" s="1"/>
  <c r="F20"/>
  <c r="I20" s="1"/>
  <c r="T20" s="1"/>
  <c r="F19"/>
  <c r="F18"/>
  <c r="F17"/>
  <c r="F16"/>
  <c r="S15"/>
  <c r="F15"/>
  <c r="I15" s="1"/>
  <c r="O14"/>
  <c r="G14"/>
  <c r="E14"/>
  <c r="D14"/>
  <c r="C14"/>
  <c r="B14"/>
  <c r="G14" i="5"/>
  <c r="F12"/>
  <c r="I12" s="1"/>
  <c r="F11"/>
  <c r="I11" s="1"/>
  <c r="F10"/>
  <c r="I10" s="1"/>
  <c r="E8"/>
  <c r="E14" s="1"/>
  <c r="D8"/>
  <c r="D14" s="1"/>
  <c r="C8"/>
  <c r="C14" s="1"/>
  <c r="B8"/>
  <c r="B14" s="1"/>
  <c r="I72" i="39" l="1"/>
  <c r="T72" s="1"/>
  <c r="R72"/>
  <c r="I57"/>
  <c r="T57" s="1"/>
  <c r="R57"/>
  <c r="I21"/>
  <c r="T21" s="1"/>
  <c r="R21"/>
  <c r="I37"/>
  <c r="T37" s="1"/>
  <c r="I38"/>
  <c r="T38" s="1"/>
  <c r="I39"/>
  <c r="T39" s="1"/>
  <c r="I40"/>
  <c r="T40" s="1"/>
  <c r="I41"/>
  <c r="T41" s="1"/>
  <c r="I42"/>
  <c r="T42" s="1"/>
  <c r="I43"/>
  <c r="T43" s="1"/>
  <c r="I44"/>
  <c r="T44" s="1"/>
  <c r="I60"/>
  <c r="T60" s="1"/>
  <c r="I61"/>
  <c r="T61" s="1"/>
  <c r="I62"/>
  <c r="T62" s="1"/>
  <c r="I63"/>
  <c r="T63" s="1"/>
  <c r="I64"/>
  <c r="T64" s="1"/>
  <c r="I65"/>
  <c r="T65" s="1"/>
  <c r="I66"/>
  <c r="T66" s="1"/>
  <c r="I67"/>
  <c r="T67" s="1"/>
  <c r="I68"/>
  <c r="T68" s="1"/>
  <c r="I69"/>
  <c r="T69" s="1"/>
  <c r="I70"/>
  <c r="T70" s="1"/>
  <c r="I71"/>
  <c r="T71" s="1"/>
  <c r="I16"/>
  <c r="T16" s="1"/>
  <c r="R16"/>
  <c r="I17"/>
  <c r="T17" s="1"/>
  <c r="R17"/>
  <c r="I18"/>
  <c r="T18" s="1"/>
  <c r="R18"/>
  <c r="I19"/>
  <c r="T19" s="1"/>
  <c r="R19"/>
  <c r="I23"/>
  <c r="T23" s="1"/>
  <c r="R23"/>
  <c r="I24"/>
  <c r="T24" s="1"/>
  <c r="R24"/>
  <c r="I25"/>
  <c r="T25" s="1"/>
  <c r="R25"/>
  <c r="R22"/>
  <c r="R36"/>
  <c r="B73"/>
  <c r="E73"/>
  <c r="J14"/>
  <c r="J73" s="1"/>
  <c r="L14"/>
  <c r="D73"/>
  <c r="C73"/>
  <c r="K14"/>
  <c r="M14"/>
  <c r="L43" i="19"/>
  <c r="AA43" s="1"/>
  <c r="Y43"/>
  <c r="T36" i="39"/>
  <c r="F14"/>
  <c r="F35"/>
  <c r="L73"/>
  <c r="R28"/>
  <c r="T15"/>
  <c r="R15"/>
  <c r="N14"/>
  <c r="T28"/>
  <c r="F8" i="5"/>
  <c r="I8" s="1"/>
  <c r="N35" i="39" l="1"/>
  <c r="N73" s="1"/>
  <c r="F73"/>
  <c r="M73"/>
  <c r="K73"/>
  <c r="F14" i="5"/>
  <c r="I14" s="1"/>
  <c r="F34" i="10" l="1"/>
  <c r="I34" s="1"/>
  <c r="F36" l="1"/>
  <c r="E27" i="36" l="1"/>
  <c r="M35" i="12" s="1"/>
  <c r="D27" i="36"/>
  <c r="L35" i="12" s="1"/>
  <c r="C27" i="36"/>
  <c r="K35" i="12" s="1"/>
  <c r="B27" i="36"/>
  <c r="J35" i="12" s="1"/>
  <c r="N35" s="1"/>
  <c r="Q35" s="1"/>
  <c r="E26" i="36"/>
  <c r="M34" i="12" s="1"/>
  <c r="D26" i="36"/>
  <c r="L34" i="12" s="1"/>
  <c r="C26" i="36"/>
  <c r="K34" i="12" s="1"/>
  <c r="B26" i="36"/>
  <c r="J34" i="12" s="1"/>
  <c r="N34" s="1"/>
  <c r="E24" i="36"/>
  <c r="M32" i="12" s="1"/>
  <c r="D24" i="36"/>
  <c r="L32" i="12" s="1"/>
  <c r="C24" i="36"/>
  <c r="K32" i="12" s="1"/>
  <c r="B24" i="36"/>
  <c r="J32" i="12" s="1"/>
  <c r="N32" s="1"/>
  <c r="E23" i="36"/>
  <c r="M31" i="12" s="1"/>
  <c r="D23" i="36"/>
  <c r="L31" i="12" s="1"/>
  <c r="C23" i="36"/>
  <c r="K31" i="12" s="1"/>
  <c r="B23" i="36"/>
  <c r="J31" i="12" s="1"/>
  <c r="N31" s="1"/>
  <c r="E22" i="36"/>
  <c r="M30" i="12" s="1"/>
  <c r="D22" i="36"/>
  <c r="L30" i="12" s="1"/>
  <c r="C22" i="36"/>
  <c r="K30" i="12" s="1"/>
  <c r="B22" i="36"/>
  <c r="J30" i="12" s="1"/>
  <c r="N30" s="1"/>
  <c r="E21" i="36"/>
  <c r="M28" i="12" s="1"/>
  <c r="D21" i="36"/>
  <c r="L28" i="12" s="1"/>
  <c r="C21" i="36"/>
  <c r="K28" i="12" s="1"/>
  <c r="B21" i="36"/>
  <c r="J28" i="12" s="1"/>
  <c r="N28" s="1"/>
  <c r="E20" i="36"/>
  <c r="M26" i="12" s="1"/>
  <c r="D20" i="36"/>
  <c r="L26" i="12" s="1"/>
  <c r="C20" i="36"/>
  <c r="K26" i="12" s="1"/>
  <c r="B20" i="36"/>
  <c r="E19"/>
  <c r="M25" i="12" s="1"/>
  <c r="D19" i="36"/>
  <c r="L25" i="12" s="1"/>
  <c r="C19" i="36"/>
  <c r="K25" i="12" s="1"/>
  <c r="E11" i="36"/>
  <c r="M19" i="12" s="1"/>
  <c r="D11" i="36"/>
  <c r="L19" i="12" s="1"/>
  <c r="C11" i="36"/>
  <c r="K19" i="12" s="1"/>
  <c r="N19" s="1"/>
  <c r="E10" i="36"/>
  <c r="D10"/>
  <c r="C10"/>
  <c r="F27"/>
  <c r="I27" s="1"/>
  <c r="G9" i="35"/>
  <c r="L18" i="12" l="1"/>
  <c r="L36" s="1"/>
  <c r="D28" i="36"/>
  <c r="K18" i="12"/>
  <c r="C28" i="36"/>
  <c r="M18" i="12"/>
  <c r="M36" s="1"/>
  <c r="E28" i="36"/>
  <c r="N25" i="12"/>
  <c r="R19"/>
  <c r="Q19"/>
  <c r="T19" s="1"/>
  <c r="B28" i="36"/>
  <c r="J26" i="12"/>
  <c r="Q28"/>
  <c r="T28" s="1"/>
  <c r="R28"/>
  <c r="Q30"/>
  <c r="T30" s="1"/>
  <c r="R30"/>
  <c r="R31"/>
  <c r="Q31"/>
  <c r="T31" s="1"/>
  <c r="Q32"/>
  <c r="T32" s="1"/>
  <c r="R32"/>
  <c r="Q34"/>
  <c r="T34" s="1"/>
  <c r="R34"/>
  <c r="K18" i="10"/>
  <c r="M18"/>
  <c r="K19"/>
  <c r="M19"/>
  <c r="K25"/>
  <c r="M25"/>
  <c r="K26"/>
  <c r="M26"/>
  <c r="K28"/>
  <c r="M28"/>
  <c r="K30"/>
  <c r="M30"/>
  <c r="K31"/>
  <c r="M31"/>
  <c r="K32"/>
  <c r="M32"/>
  <c r="K34"/>
  <c r="M34"/>
  <c r="K35"/>
  <c r="M35"/>
  <c r="J18"/>
  <c r="L18"/>
  <c r="J19"/>
  <c r="L19"/>
  <c r="J25"/>
  <c r="L25"/>
  <c r="J26"/>
  <c r="L26"/>
  <c r="J28"/>
  <c r="L28"/>
  <c r="J30"/>
  <c r="L30"/>
  <c r="J31"/>
  <c r="L31"/>
  <c r="J32"/>
  <c r="L32"/>
  <c r="J34"/>
  <c r="L34"/>
  <c r="J35"/>
  <c r="L35"/>
  <c r="B10" i="34"/>
  <c r="M20"/>
  <c r="H10"/>
  <c r="I10"/>
  <c r="J10"/>
  <c r="K10"/>
  <c r="L10"/>
  <c r="C10"/>
  <c r="D10"/>
  <c r="E10"/>
  <c r="F10"/>
  <c r="G20"/>
  <c r="N20" s="1"/>
  <c r="N26" i="12" l="1"/>
  <c r="J36"/>
  <c r="R25"/>
  <c r="Q25"/>
  <c r="T25" s="1"/>
  <c r="N18"/>
  <c r="K36"/>
  <c r="K36" i="10"/>
  <c r="M36"/>
  <c r="J36"/>
  <c r="L36"/>
  <c r="N35"/>
  <c r="Q35" s="1"/>
  <c r="B9" i="35"/>
  <c r="E57"/>
  <c r="D57"/>
  <c r="C57"/>
  <c r="B57"/>
  <c r="E56"/>
  <c r="E30" s="1"/>
  <c r="D56"/>
  <c r="C56"/>
  <c r="C30" s="1"/>
  <c r="B56"/>
  <c r="B30" s="1"/>
  <c r="F28"/>
  <c r="I28" s="1"/>
  <c r="F26"/>
  <c r="I26" s="1"/>
  <c r="F25"/>
  <c r="I25" s="1"/>
  <c r="F23"/>
  <c r="I23" s="1"/>
  <c r="F22"/>
  <c r="I22" s="1"/>
  <c r="Q18" i="12" l="1"/>
  <c r="T18" s="1"/>
  <c r="R18"/>
  <c r="N36"/>
  <c r="Q36" s="1"/>
  <c r="Q26"/>
  <c r="T26" s="1"/>
  <c r="R26"/>
  <c r="B68" i="35"/>
  <c r="D30"/>
  <c r="F9"/>
  <c r="M18" i="34"/>
  <c r="N18" s="1"/>
  <c r="M19"/>
  <c r="G19"/>
  <c r="D22"/>
  <c r="C22"/>
  <c r="B22"/>
  <c r="F45" i="35"/>
  <c r="I45" s="1"/>
  <c r="F53"/>
  <c r="F54"/>
  <c r="I54" s="1"/>
  <c r="F55"/>
  <c r="I55" s="1"/>
  <c r="M36" i="34"/>
  <c r="M37"/>
  <c r="G36"/>
  <c r="G37"/>
  <c r="N19" l="1"/>
  <c r="B39"/>
  <c r="D39"/>
  <c r="N37"/>
  <c r="N36"/>
  <c r="F26" i="36"/>
  <c r="F24"/>
  <c r="F23"/>
  <c r="F22"/>
  <c r="F21"/>
  <c r="F20"/>
  <c r="F19"/>
  <c r="F11"/>
  <c r="F67" i="35"/>
  <c r="I67" s="1"/>
  <c r="F66"/>
  <c r="I66" s="1"/>
  <c r="F65"/>
  <c r="F64"/>
  <c r="F63"/>
  <c r="I63" s="1"/>
  <c r="F62"/>
  <c r="F61"/>
  <c r="F60"/>
  <c r="F59"/>
  <c r="I59" s="1"/>
  <c r="F58"/>
  <c r="F57"/>
  <c r="I57" s="1"/>
  <c r="F52"/>
  <c r="I52" s="1"/>
  <c r="F51"/>
  <c r="I51" s="1"/>
  <c r="F50"/>
  <c r="I50" s="1"/>
  <c r="F49"/>
  <c r="I49" s="1"/>
  <c r="F46"/>
  <c r="F44"/>
  <c r="I44" s="1"/>
  <c r="F43"/>
  <c r="I43" s="1"/>
  <c r="F42"/>
  <c r="I42" s="1"/>
  <c r="F41"/>
  <c r="F40"/>
  <c r="F39"/>
  <c r="I39" s="1"/>
  <c r="F38"/>
  <c r="F37"/>
  <c r="I37" s="1"/>
  <c r="F36"/>
  <c r="I36" s="1"/>
  <c r="F35"/>
  <c r="I35" s="1"/>
  <c r="F34"/>
  <c r="I34" s="1"/>
  <c r="F33"/>
  <c r="F32"/>
  <c r="I32" s="1"/>
  <c r="F31"/>
  <c r="I31" s="1"/>
  <c r="F21"/>
  <c r="I21" s="1"/>
  <c r="F18"/>
  <c r="I18" s="1"/>
  <c r="F17"/>
  <c r="F16"/>
  <c r="I16" s="1"/>
  <c r="F15"/>
  <c r="I15" s="1"/>
  <c r="F14"/>
  <c r="I14" s="1"/>
  <c r="F13"/>
  <c r="I13" s="1"/>
  <c r="F12"/>
  <c r="I12" s="1"/>
  <c r="F11"/>
  <c r="I11" s="1"/>
  <c r="F10"/>
  <c r="I10" s="1"/>
  <c r="M35" i="34"/>
  <c r="G35"/>
  <c r="M34"/>
  <c r="G34"/>
  <c r="M33"/>
  <c r="G33"/>
  <c r="M32"/>
  <c r="G32"/>
  <c r="M31"/>
  <c r="G31"/>
  <c r="M30"/>
  <c r="G30"/>
  <c r="M28"/>
  <c r="G28"/>
  <c r="M27"/>
  <c r="G27"/>
  <c r="M26"/>
  <c r="G26"/>
  <c r="M25"/>
  <c r="G25"/>
  <c r="M24"/>
  <c r="G24"/>
  <c r="M23"/>
  <c r="G23"/>
  <c r="L22"/>
  <c r="L39" s="1"/>
  <c r="K22"/>
  <c r="J22"/>
  <c r="J39" s="1"/>
  <c r="H22"/>
  <c r="F22"/>
  <c r="F39" s="1"/>
  <c r="E22"/>
  <c r="E39" s="1"/>
  <c r="C39"/>
  <c r="I22"/>
  <c r="M15"/>
  <c r="G15"/>
  <c r="M13"/>
  <c r="G13"/>
  <c r="M11"/>
  <c r="G11"/>
  <c r="E19" i="33"/>
  <c r="E43" s="1"/>
  <c r="B15"/>
  <c r="E14"/>
  <c r="E13"/>
  <c r="E12"/>
  <c r="E11"/>
  <c r="E10"/>
  <c r="E9"/>
  <c r="E8"/>
  <c r="D15"/>
  <c r="C15"/>
  <c r="J6"/>
  <c r="N25" i="10"/>
  <c r="F32"/>
  <c r="I32" s="1"/>
  <c r="F31"/>
  <c r="I31" s="1"/>
  <c r="F30"/>
  <c r="I30" s="1"/>
  <c r="F29"/>
  <c r="I29" s="1"/>
  <c r="T29" s="1"/>
  <c r="F28"/>
  <c r="I28" s="1"/>
  <c r="F27"/>
  <c r="I27" s="1"/>
  <c r="T27" s="1"/>
  <c r="F26"/>
  <c r="I26" s="1"/>
  <c r="F25"/>
  <c r="I25" s="1"/>
  <c r="F24"/>
  <c r="I24" s="1"/>
  <c r="I36"/>
  <c r="F19"/>
  <c r="I19" s="1"/>
  <c r="F18"/>
  <c r="I18" s="1"/>
  <c r="S18"/>
  <c r="I58" i="35" l="1"/>
  <c r="I65"/>
  <c r="I33"/>
  <c r="I41"/>
  <c r="I64"/>
  <c r="I40"/>
  <c r="I62"/>
  <c r="I38"/>
  <c r="I61"/>
  <c r="I46"/>
  <c r="I60"/>
  <c r="I17"/>
  <c r="R25" i="10"/>
  <c r="I11" i="36"/>
  <c r="I19"/>
  <c r="I21"/>
  <c r="I23"/>
  <c r="I26"/>
  <c r="I20"/>
  <c r="I22"/>
  <c r="I24"/>
  <c r="N34" i="10"/>
  <c r="R34" s="1"/>
  <c r="F30" i="35"/>
  <c r="G39" i="34"/>
  <c r="E68" i="35"/>
  <c r="C68"/>
  <c r="D68"/>
  <c r="K39" i="34"/>
  <c r="N23"/>
  <c r="N24"/>
  <c r="N27"/>
  <c r="N28"/>
  <c r="N30"/>
  <c r="N31"/>
  <c r="N32"/>
  <c r="N33"/>
  <c r="N34"/>
  <c r="N35"/>
  <c r="N11"/>
  <c r="N13"/>
  <c r="N15"/>
  <c r="F10" i="36"/>
  <c r="F28" s="1"/>
  <c r="G29" i="34"/>
  <c r="G22" s="1"/>
  <c r="N26"/>
  <c r="I39"/>
  <c r="N25"/>
  <c r="M29"/>
  <c r="M22" s="1"/>
  <c r="G17"/>
  <c r="G10" s="1"/>
  <c r="M17"/>
  <c r="M10" s="1"/>
  <c r="H39"/>
  <c r="E7" i="33"/>
  <c r="E15" s="1"/>
  <c r="N30" i="10"/>
  <c r="R30" s="1"/>
  <c r="N32"/>
  <c r="R32" s="1"/>
  <c r="N19"/>
  <c r="N31"/>
  <c r="Q25"/>
  <c r="T25" s="1"/>
  <c r="N26"/>
  <c r="R26" s="1"/>
  <c r="N29"/>
  <c r="R29" s="1"/>
  <c r="N27"/>
  <c r="R27" s="1"/>
  <c r="N18"/>
  <c r="F68" i="35" l="1"/>
  <c r="Q31" i="10"/>
  <c r="R31"/>
  <c r="Q19"/>
  <c r="T19" s="1"/>
  <c r="R19"/>
  <c r="Q34"/>
  <c r="T34" s="1"/>
  <c r="I28" i="36"/>
  <c r="M39" i="34"/>
  <c r="I10" i="36"/>
  <c r="N17" i="34"/>
  <c r="N29"/>
  <c r="N24" i="10"/>
  <c r="R24" s="1"/>
  <c r="N28"/>
  <c r="R28" s="1"/>
  <c r="Q32"/>
  <c r="T32" s="1"/>
  <c r="Q30"/>
  <c r="T30" s="1"/>
  <c r="R18"/>
  <c r="Q18"/>
  <c r="Q26"/>
  <c r="T26" s="1"/>
  <c r="N36" l="1"/>
  <c r="Q36" s="1"/>
  <c r="T31"/>
  <c r="N10" i="34"/>
  <c r="N22"/>
  <c r="Q28" i="10"/>
  <c r="T28" s="1"/>
  <c r="Q24"/>
  <c r="T24" s="1"/>
  <c r="T18"/>
  <c r="N39" i="34" l="1"/>
  <c r="F56" i="35" l="1"/>
  <c r="I56" l="1"/>
</calcChain>
</file>

<file path=xl/sharedStrings.xml><?xml version="1.0" encoding="utf-8"?>
<sst xmlns="http://schemas.openxmlformats.org/spreadsheetml/2006/main" count="1466" uniqueCount="605">
  <si>
    <r>
      <t>ตารางที่ 11</t>
    </r>
    <r>
      <rPr>
        <b/>
        <sz val="18"/>
        <rFont val="TH SarabunPSK"/>
        <family val="2"/>
      </rPr>
      <t xml:space="preserve"> รายงานเปรียบเทียบต้นทุนทางตรงตามศูนย์ต้นทุนแยกตามประเภทค่าใช้จ่าย</t>
    </r>
  </si>
  <si>
    <r>
      <t>ตารางที่ 7</t>
    </r>
    <r>
      <rPr>
        <b/>
        <sz val="18"/>
        <rFont val="TH SarabunPSK"/>
        <family val="2"/>
      </rPr>
      <t xml:space="preserve"> เปรียบเทียบผลการคำนวณต้นทุนกิจกรรมย่อยแยกตามแหล่งเงิน</t>
    </r>
  </si>
  <si>
    <t>5.  กองพัฒนาศักยภาพฯ</t>
  </si>
  <si>
    <t>12.  กลุ่มพัฒนาระบบบริหาร</t>
  </si>
  <si>
    <t>13.  กลุ่มตรวจสอบภายใน</t>
  </si>
  <si>
    <t>7.  สำนักพัฒนาผู้ฝึกฯ</t>
  </si>
  <si>
    <t>10.  กลุ่มกฏหมาย</t>
  </si>
  <si>
    <t>11.  กองยุทธศาสตร์และเครือข่ายฯ</t>
  </si>
  <si>
    <t>จำนวนหนังสือเข้า-ออก</t>
  </si>
  <si>
    <t>กิโลเมตร</t>
  </si>
  <si>
    <t>ด้าน</t>
  </si>
  <si>
    <t xml:space="preserve">      ฝีมือแรงงาน พ.ศ. 2545</t>
  </si>
  <si>
    <t>(14) =(10) ถึง (13)</t>
  </si>
  <si>
    <t>(20) = (17)-(9)</t>
  </si>
  <si>
    <t>*100/(9)</t>
  </si>
  <si>
    <t>(19) = (15)-(7)</t>
  </si>
  <si>
    <t>*100/(7)</t>
  </si>
  <si>
    <t>(18) = (14)-(6)</t>
  </si>
  <si>
    <t>*100/(6)</t>
  </si>
  <si>
    <t>(7) = (4)-(1)</t>
  </si>
  <si>
    <t>x100/ (1)</t>
  </si>
  <si>
    <t>(8) = (5)-(2)</t>
  </si>
  <si>
    <t>x100/ (2)</t>
  </si>
  <si>
    <t>(9) = (6)-(3)</t>
  </si>
  <si>
    <t>x100/ (3)</t>
  </si>
  <si>
    <t>(21) = (17)+(18)</t>
  </si>
  <si>
    <t>(16) =(12)+(13)</t>
  </si>
  <si>
    <t>+(14)+(15)</t>
  </si>
  <si>
    <t>+(19)+(20)</t>
  </si>
  <si>
    <t>x100/(5)</t>
  </si>
  <si>
    <t>(23)=(16)-(5)</t>
  </si>
  <si>
    <t>x100/(10)</t>
  </si>
  <si>
    <t>(24)=(21)-(10)</t>
  </si>
  <si>
    <t>ค่าตอบแทนใช้สอยและวัสดุ</t>
  </si>
  <si>
    <t>ค่าใช้จ่ายบุคลากร</t>
  </si>
  <si>
    <t>(10) = (6)+(7)</t>
  </si>
  <si>
    <t>+(8)+(9)</t>
  </si>
  <si>
    <t>x100/(11)</t>
  </si>
  <si>
    <t>(25)=(22)-(11)</t>
  </si>
  <si>
    <t>(5) =(1)+(2)</t>
  </si>
  <si>
    <t>+(3)+(4)</t>
  </si>
  <si>
    <t xml:space="preserve">    แรงงานนานาชาติเชียงแสน</t>
  </si>
  <si>
    <r>
      <t>หัก</t>
    </r>
    <r>
      <rPr>
        <b/>
        <sz val="16"/>
        <rFont val="TH SarabunPSK"/>
        <family val="2"/>
      </rPr>
      <t xml:space="preserve">   ต้นทุนที่ไม่เกี่ยวข้องในการผลิตผลผลิต</t>
    </r>
  </si>
  <si>
    <t>ประเภทค่าใช้จ่าย</t>
  </si>
  <si>
    <t>เงินในงบประมาณ</t>
  </si>
  <si>
    <t>เงินนอกงบประมาณ</t>
  </si>
  <si>
    <t>งบกลาง</t>
  </si>
  <si>
    <t>รวม</t>
  </si>
  <si>
    <t>1. ค่าใช้จ่ายบุคลากร</t>
  </si>
  <si>
    <t>2. ค่าใช้จ่ายด้านการฝึกอบรม</t>
  </si>
  <si>
    <t>รวมต้นทุนผลผลิต</t>
  </si>
  <si>
    <t>(หน่วย : บาท)</t>
  </si>
  <si>
    <t xml:space="preserve">หมายเหตุ : </t>
  </si>
  <si>
    <t xml:space="preserve">        ค่าใช้จ่ายในระบบ  GFMIS</t>
  </si>
  <si>
    <t>ค่าใช้จ่ายทางตรง</t>
  </si>
  <si>
    <t>ค่าใช้จ่ายทางอ้อม</t>
  </si>
  <si>
    <t>ศูนย์ต้นทุน</t>
  </si>
  <si>
    <t>ศูนย์ต้นทุนหลัก</t>
  </si>
  <si>
    <t>ศูนย์ต้นทุนสนับสนุน</t>
  </si>
  <si>
    <t>หน่วย : บาท</t>
  </si>
  <si>
    <t>กิจกรรมย่อย</t>
  </si>
  <si>
    <t>ค่าเสื่อมราคา</t>
  </si>
  <si>
    <t>ต้นทุนรวม</t>
  </si>
  <si>
    <t>ปริมาณ</t>
  </si>
  <si>
    <t>หน่วยนับ</t>
  </si>
  <si>
    <t>ต้นทุนต่อหน่วย</t>
  </si>
  <si>
    <t>กิจกรรมย่อยของหน่วยงานหลัก</t>
  </si>
  <si>
    <t>กิจกรรมย่อยของหน่วยงานสนับสนุน</t>
  </si>
  <si>
    <t>คน</t>
  </si>
  <si>
    <t>ครั้ง</t>
  </si>
  <si>
    <t>เรื่อง</t>
  </si>
  <si>
    <t>โครงการ</t>
  </si>
  <si>
    <t>หลักสูตร</t>
  </si>
  <si>
    <t>จำนวนเอกสารรายการ</t>
  </si>
  <si>
    <t>จำนวนบุคลากร</t>
  </si>
  <si>
    <t>หน่วยงาน</t>
  </si>
  <si>
    <t>กิจกรรมหลัก</t>
  </si>
  <si>
    <t>ต้นทุน</t>
  </si>
  <si>
    <t>เงินใน</t>
  </si>
  <si>
    <t>งปม.</t>
  </si>
  <si>
    <t>เงินนอก</t>
  </si>
  <si>
    <t>ค่าเสื่อม</t>
  </si>
  <si>
    <t>ราคา</t>
  </si>
  <si>
    <t>หน่วย</t>
  </si>
  <si>
    <t>นับ</t>
  </si>
  <si>
    <t>ต่อหน่วย</t>
  </si>
  <si>
    <t>ผลการเปรียบเทียบ</t>
  </si>
  <si>
    <t>เพิ่ม (ลด)</t>
  </si>
  <si>
    <t>%</t>
  </si>
  <si>
    <t>จำนวนครั้งของการของการจัดซื้อจัดจ้าง</t>
  </si>
  <si>
    <t>จำนวนชั่วโมงคนการฝึกอบรม</t>
  </si>
  <si>
    <t>จำนวนเครื่องคอมพิวเตอร์</t>
  </si>
  <si>
    <r>
      <t>ตารางที่ 9</t>
    </r>
    <r>
      <rPr>
        <b/>
        <sz val="18"/>
        <rFont val="TH SarabunPSK"/>
        <family val="2"/>
      </rPr>
      <t xml:space="preserve"> เปรียบเทียบผลการคำนวณต้นทุนผลผลิตย่อยแยกตามแหล่งเงิน</t>
    </r>
  </si>
  <si>
    <t>รวมต้นทุนทั้งสิ้น</t>
  </si>
  <si>
    <t>วิเคราะห์สาเหตุของการเปลี่ยนแปลงของต้นทุนต่อหน่วยผลผลิตหลัก</t>
  </si>
  <si>
    <t>วิเคราะห์สาเหตุของการเปลี่ยนแปลงของต้นทุนต่อหน่วยกิจกรรมหลัก</t>
  </si>
  <si>
    <t>วิเคราะห์สาเหตุของการเปลี่ยนแปลงของต้นทุนต่อหน่วยกิจกรรมย่อย</t>
  </si>
  <si>
    <t>1.  สถาบันพัฒนาฝีมือ</t>
  </si>
  <si>
    <t>2.  ศูนย์พัฒนาฝีมือแรงงาน</t>
  </si>
  <si>
    <t>3.  สถาบันพัฒนาฝีมือ</t>
  </si>
  <si>
    <t xml:space="preserve">     แรงงานภาค  12  แห่ง</t>
  </si>
  <si>
    <t xml:space="preserve">     แรงงานนานาชาติเชียงแสน</t>
  </si>
  <si>
    <t>1.  สำนักอธิบดี</t>
  </si>
  <si>
    <t>2.  สำนักงานผู้ตรวจราชการกรม</t>
  </si>
  <si>
    <t>3.  สำนักงานเลขานุการกรม</t>
  </si>
  <si>
    <t>4.  กองแผนงานฯ</t>
  </si>
  <si>
    <t>6.  สำนักพัฒนามาตรฐานฯ</t>
  </si>
  <si>
    <t>14.  กองวิเทศสัมพันธ์</t>
  </si>
  <si>
    <t>สาขา</t>
  </si>
  <si>
    <t xml:space="preserve"> ค่าใช้จ่ายบุคลากร</t>
  </si>
  <si>
    <t>ค่าสาธารณูปโภค</t>
  </si>
  <si>
    <t>ค่าใช้จ่ายอื่น</t>
  </si>
  <si>
    <t xml:space="preserve"> ค่าตอบแทน</t>
  </si>
  <si>
    <t xml:space="preserve"> ใช้สอยและวัสดุ </t>
  </si>
  <si>
    <t xml:space="preserve"> ค่าเสื่อมราคา</t>
  </si>
  <si>
    <t>8.  กองคลัง</t>
  </si>
  <si>
    <t>9.  กองการเจ้าหน้าที่</t>
  </si>
  <si>
    <t>งบประมาณ</t>
  </si>
  <si>
    <t>ระบบ</t>
  </si>
  <si>
    <t>(6) =(2) ถึง (5)</t>
  </si>
  <si>
    <t>(9) = (6)/(7)</t>
  </si>
  <si>
    <t>(10)</t>
  </si>
  <si>
    <t>(11)</t>
  </si>
  <si>
    <t>(16)</t>
  </si>
  <si>
    <t>(17) = (14)/(15)</t>
  </si>
  <si>
    <t>เพิ่ม (ลด) %</t>
  </si>
  <si>
    <t>ต้นทุนคงที่</t>
  </si>
  <si>
    <t>ต้นทุนผันแปร</t>
  </si>
  <si>
    <t>ค่าใช้จ่ายอื่น ๆ</t>
  </si>
  <si>
    <t>คงที่เพิ่ม/</t>
  </si>
  <si>
    <t>ผันแปร</t>
  </si>
  <si>
    <t>สพท.</t>
  </si>
  <si>
    <t>สพภ.</t>
  </si>
  <si>
    <t>5101</t>
  </si>
  <si>
    <t>5102</t>
  </si>
  <si>
    <t>5103</t>
  </si>
  <si>
    <t>5104</t>
  </si>
  <si>
    <t>5107</t>
  </si>
  <si>
    <r>
      <t>ตารางที่ 8</t>
    </r>
    <r>
      <rPr>
        <b/>
        <sz val="18"/>
        <rFont val="TH SarabunPSK"/>
        <family val="2"/>
      </rPr>
      <t xml:space="preserve"> เปรียบเทียบผลการคำนวณต้นทุนกิจกรรมหลักแยกตามแหล่งเงิน</t>
    </r>
  </si>
  <si>
    <t>รวมเพิ่ม/</t>
  </si>
  <si>
    <t>(อื่น ๆ)</t>
  </si>
  <si>
    <t>(ค่าล่วงเวลา)</t>
  </si>
  <si>
    <t>(เงินอุดหนุนฯ)</t>
  </si>
  <si>
    <t>และค่าตัด</t>
  </si>
  <si>
    <t>(ลด)%</t>
  </si>
  <si>
    <t>เพิ่ม/</t>
  </si>
  <si>
    <t>(คชจ.อบรม  เดินทาง</t>
  </si>
  <si>
    <t>จำหน่าย</t>
  </si>
  <si>
    <t>ค่าวัสดุ  เชื้อเพลิง)</t>
  </si>
  <si>
    <t>(1)</t>
  </si>
  <si>
    <t>(2)</t>
  </si>
  <si>
    <t>(3)</t>
  </si>
  <si>
    <t>(4)</t>
  </si>
  <si>
    <t>(6)</t>
  </si>
  <si>
    <t>(7)</t>
  </si>
  <si>
    <t>(8)</t>
  </si>
  <si>
    <t>(9)</t>
  </si>
  <si>
    <t>(11) = (5)+(10)</t>
  </si>
  <si>
    <t>(12)</t>
  </si>
  <si>
    <t>(13)</t>
  </si>
  <si>
    <t>(14)</t>
  </si>
  <si>
    <t>(15)</t>
  </si>
  <si>
    <t>(22) = (16)+(21)</t>
  </si>
  <si>
    <t xml:space="preserve">                   และลักษณะของต้นทุน (คงที่/ผันแปร)</t>
  </si>
  <si>
    <t>(17)</t>
  </si>
  <si>
    <t>(18)</t>
  </si>
  <si>
    <t>(19)</t>
  </si>
  <si>
    <t>(20)</t>
  </si>
  <si>
    <t>ต้นทุนทางอ้อม</t>
  </si>
  <si>
    <t xml:space="preserve"> ต้นทุนคงที่</t>
  </si>
  <si>
    <t xml:space="preserve"> ต้นทุนผันแปร</t>
  </si>
  <si>
    <t>คงที่</t>
  </si>
  <si>
    <t>เพิ่ม/(ลด)%</t>
  </si>
  <si>
    <t>(3) = (1)+(2)</t>
  </si>
  <si>
    <t>(5)</t>
  </si>
  <si>
    <t>(6) = (4)+(5)</t>
  </si>
  <si>
    <t>ค่าเสื่อมราคาและตัดจำหน่าย</t>
  </si>
  <si>
    <t>กรมพัฒนาฝีมือแรงงาน</t>
  </si>
  <si>
    <t>จำนวนงานตรวจสอบ/คน วัน</t>
  </si>
  <si>
    <t>- มีต้นทุนต่อหน่วยเพิ่มขึ้น ร้อยละ 100</t>
  </si>
  <si>
    <r>
      <t>ตารางที่ 10</t>
    </r>
    <r>
      <rPr>
        <b/>
        <sz val="20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</si>
  <si>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t>- มีต้นทุนต่อหน่วยลดลง ร้อยละ 100</t>
  </si>
  <si>
    <t xml:space="preserve">   เนื่องจาก กรมมีภารกิจเพิ่มขึ้น ได้ดำเนินโครงการการฝึกยกระดับฝีมือแรงงานลูกจ้างที่ได้รับผลกระทบจากอุทกภัยกลับสู่สถานประกอบกิจการ</t>
  </si>
  <si>
    <t xml:space="preserve">   ผลผลิต กำลังแรงงานในสถานประกอบกิจการได้รับการพัฒนาทักษะฝีมือและศักยภาพได้มาตรฐาน มีต้นทุนต่อหน่วยลดลง 29.65 </t>
  </si>
  <si>
    <t xml:space="preserve">              ประกอบกับ กิจกรรม พัฒนาฝีมือและศักยภาพแรงงานก่อนเข้าสู่ตลาดแรงงาน ปีงบประมาณ 2555 ได้ดำเนินการภายใต้ ผลผลิต แรงงานในระบบแรงงาน</t>
  </si>
  <si>
    <t xml:space="preserve">              โครงการฝึกอาชีพเพื่อซ่อมแซมบ้านเรือน ยานพาหนะ เครื่องมือเครื่องใช้ของประชาชนที่ได้รับผลกระทบจากภัยธรรมชาติ เพื่อรองรับนโยบายรัฐบาล</t>
  </si>
  <si>
    <t xml:space="preserve">              นอกระบบและผู้จบการศึกษาใหม่มีรายได้ที่แท้จริงสูงขึ้น และจำนวนผู้เข้ารับการอบรมมากขึ้น มีผลทำให้ต้นทุนต่อหน่วยลดลง </t>
  </si>
  <si>
    <t>6. ค่าใช้จ่ายเงินอุดหนุน</t>
  </si>
  <si>
    <t>7. ค่าจำหน่ายครุภัณฑ์</t>
  </si>
  <si>
    <t>8. ค่าใช้จ่ายอื่นๆ</t>
  </si>
  <si>
    <t>รายงานต้นทุนต่อหน่วยผลผลิต</t>
  </si>
  <si>
    <r>
      <t>ตารางที่ 1</t>
    </r>
    <r>
      <rPr>
        <b/>
        <sz val="18"/>
        <rFont val="TH SarabunPSK"/>
        <family val="2"/>
      </rPr>
      <t xml:space="preserve"> รายงานต้นทุนรวม โดยแยกประเภทตามแหล่งเงิน </t>
    </r>
  </si>
  <si>
    <t xml:space="preserve">     จังหวัด  65  แห่ง</t>
  </si>
  <si>
    <t>ค่าใช้จ่ายอุดหนุน</t>
  </si>
  <si>
    <t xml:space="preserve"> ค่าตอบแทน ใช้สอย</t>
  </si>
  <si>
    <t xml:space="preserve">3. ค่าใช้จ่ายเดินทาง </t>
  </si>
  <si>
    <t>4. ค่าตอบแทน ใช้สอยวัสดุ และสาธารณูปโภค</t>
  </si>
  <si>
    <r>
      <t xml:space="preserve">ตารางที่ 2 </t>
    </r>
    <r>
      <rPr>
        <b/>
        <sz val="18"/>
        <rFont val="TH SarabunPSK"/>
        <family val="2"/>
      </rPr>
      <t xml:space="preserve">รายงานต้นทุนตามศูนย์ต้นทุนแยกตามประเภทค่าใช้จ่าย  </t>
    </r>
  </si>
  <si>
    <t xml:space="preserve">ค่าสาธารณูปโภค </t>
  </si>
  <si>
    <t xml:space="preserve">  วัสดุและ</t>
  </si>
  <si>
    <r>
      <t xml:space="preserve">ตารางที่ 3 </t>
    </r>
    <r>
      <rPr>
        <b/>
        <sz val="18"/>
        <rFont val="TH SarabunPSK"/>
        <family val="2"/>
      </rPr>
      <t xml:space="preserve">รายงานต้นทุนกิจกรรมย่อยแยกตามแหล่งเงิน  </t>
    </r>
  </si>
  <si>
    <t>2.  พัฒนาฝีมือและศักยภาพกลุ่มเครือข่ายแรงงานนานาชาติ</t>
  </si>
  <si>
    <t>4.  พัฒนาฝีมือเพื่อเพิ่มโอกาสในการประกอบอาชีพ</t>
  </si>
  <si>
    <t>5.  พัฒนา/ส่งเสริมการประกอบอาชีพอิสระ</t>
  </si>
  <si>
    <t>6.  พัฒนาฝีมือและศักยภาพแรงงานก่อนเข้าสู่ตลาดแรงงาน</t>
  </si>
  <si>
    <t>7.  ทดสอบมาตรฐานฝีมือแรงงาน</t>
  </si>
  <si>
    <t>8.  ยกระดับฝีมือและศักยภาพแรงงาน</t>
  </si>
  <si>
    <t>1.  บริหารให้หน่วยงานปฏิบัติตามนโยบายที่ได้กำหนดไว้</t>
  </si>
  <si>
    <t>2.  ตรวจติดตามและให้คำแนะนำการปฏิบัติราชการ</t>
  </si>
  <si>
    <t>3.  ด้านงานสารบรรณ</t>
  </si>
  <si>
    <t>4.  ด้านยานพาหนะ</t>
  </si>
  <si>
    <t>5.  ด้านประชาสัมพันธ์</t>
  </si>
  <si>
    <t>6.  ด้านอำนวยการ พิธีการและประสานราชการ</t>
  </si>
  <si>
    <t>7.  ด้านบำรุงรักษา อาคาร สถานที่</t>
  </si>
  <si>
    <t>8.  ด้านแผนงาน</t>
  </si>
  <si>
    <t>9.  ศึกษารูปแบบการพัฒนาศักยภาพแรงงาน</t>
  </si>
  <si>
    <t>10.  ส่งเสริมศักยภาพมาตรฐานฝีมือแรงงานไทยในต่างประเทศ</t>
  </si>
  <si>
    <t>จำนวนชั่วโมง/คนการฝึกอบรม</t>
  </si>
  <si>
    <t>จำนวนกิโลเมตร</t>
  </si>
  <si>
    <r>
      <t xml:space="preserve">ตารางที่ 5 </t>
    </r>
    <r>
      <rPr>
        <b/>
        <sz val="18"/>
        <rFont val="TH SarabunPSK"/>
        <family val="2"/>
      </rPr>
      <t>รายงานต้นทุนผลผลิตย่อยแยกตามแหล่งเงิน</t>
    </r>
  </si>
  <si>
    <r>
      <t xml:space="preserve">ตารางที่ 4 </t>
    </r>
    <r>
      <rPr>
        <b/>
        <sz val="18"/>
        <rFont val="TH SarabunPSK"/>
        <family val="2"/>
      </rPr>
      <t>รายงานต้นทุนกิจกรรมหลักแยกตามแหล่งเงิน</t>
    </r>
  </si>
  <si>
    <r>
      <t xml:space="preserve">ตารางที่ 6 </t>
    </r>
    <r>
      <rPr>
        <b/>
        <sz val="18"/>
        <rFont val="TH SarabunPSK"/>
        <family val="2"/>
      </rPr>
      <t>รายงานต้นทุนผลผลิตหลักแยกตามแหล่งเงิน</t>
    </r>
  </si>
  <si>
    <t xml:space="preserve">      ฝึกอบรมฝีมือแรงงานตามพระราชบัญญัติส่งเสริมการพัฒนา</t>
  </si>
  <si>
    <r>
      <t>ตารางที่ 10</t>
    </r>
    <r>
      <rPr>
        <b/>
        <sz val="18"/>
        <rFont val="TH SarabunPSK"/>
        <family val="2"/>
      </rPr>
      <t xml:space="preserve"> เปรียบเทียบผลการคำนวณต้นทุนผลผลิตหลักแยกตามแหล่งเงิน</t>
    </r>
  </si>
  <si>
    <r>
      <t>ตารางที่ 11</t>
    </r>
    <r>
      <rPr>
        <b/>
        <sz val="16"/>
        <rFont val="TH SarabunPSK"/>
        <family val="2"/>
      </rPr>
      <t xml:space="preserve">  รายงานเปรียบเทียบต้นทุนทางตรงตามศูนย์ต้นทุนแยกตามประเภทค่าใช้จ่าย  ลักษณะของต้นทุน (คงที่/ผันแปร)</t>
    </r>
  </si>
  <si>
    <t xml:space="preserve">      แรงงาน</t>
  </si>
  <si>
    <t>5. ค่าเสื่อมราคา</t>
  </si>
  <si>
    <t>และตัดจำหน่าย</t>
  </si>
  <si>
    <r>
      <t>ตารางที่ 12</t>
    </r>
    <r>
      <rPr>
        <b/>
        <sz val="18"/>
        <rFont val="TH SarabunPSK"/>
        <family val="2"/>
      </rPr>
      <t xml:space="preserve">  รายงานเปรียบเทียบต้นทุนทางอ้อมตามลักษณะของต้นทุน (คงที่/ผันแปร)</t>
    </r>
  </si>
  <si>
    <t>ผลผลิตหลัก/โครงการ</t>
  </si>
  <si>
    <t>9.  จัดทำหลักเกณฑ์ พัฒนา/ส่งเสริมมาตรฐานฝีมือแรงงาน</t>
  </si>
  <si>
    <t>2.   พัฒนาฝีมือและศักยภาพกลุ่มเครือข่ายแรงงาน</t>
  </si>
  <si>
    <t xml:space="preserve">     นานาชาติ</t>
  </si>
  <si>
    <t xml:space="preserve">      ฝีมือแรงงาน</t>
  </si>
  <si>
    <t xml:space="preserve">       - บำนาญปกติ</t>
  </si>
  <si>
    <t xml:space="preserve">       - บำนาญพิเศษ</t>
  </si>
  <si>
    <t xml:space="preserve">       - เงินช่วยเหลือรายเดือนผู้รับเบี้ยหวัดบำนาญ</t>
  </si>
  <si>
    <t xml:space="preserve">       - เงินช่วยค่าครองชีพผู้รับเบี้ยหวัดบำนาญ</t>
  </si>
  <si>
    <t xml:space="preserve">       - เงินบำเหน็จ</t>
  </si>
  <si>
    <t xml:space="preserve">       - เงินบำเหน็จตกทอด</t>
  </si>
  <si>
    <t xml:space="preserve">       - เงินบำเหน็จดำรงชีพ</t>
  </si>
  <si>
    <t xml:space="preserve">       - เงินช่วยพิเศษกรณีผู้รับบำนาญตาย</t>
  </si>
  <si>
    <t xml:space="preserve">       - บำเหน็จรายเดือนสำหรับการเบิกเงินบำเหน็จลูกจ้าง</t>
  </si>
  <si>
    <t xml:space="preserve">       - เงินช่วยการศึกษาบุตร</t>
  </si>
  <si>
    <t xml:space="preserve">       - ค่ารักษาพยาบาลผู้ป่วยนอก-รพ.รัฐ-เบี้ยหวัด/บำนาญ</t>
  </si>
  <si>
    <t xml:space="preserve">       - ค่ารักษาพยาบาลผู้ป่วยใน-รพ.รัฐ-เบี้ยหวัด/บำนาญ</t>
  </si>
  <si>
    <t xml:space="preserve">       - ค่ารักษาพยาบาลผู้ป่วยนอก-รพ.เอกชน-เบี้ยหวัด/บำนาญ</t>
  </si>
  <si>
    <t xml:space="preserve">       - ค่ารักษาพยาบาลผู้ป่วยใน-รพ.เอกชน-เบี้ยหวัด/บำนาญ</t>
  </si>
  <si>
    <t xml:space="preserve">       - TE-หน่วยงานส่งเงินเบิกเกินส่งคืนให้กรมบัญชีกลาง</t>
  </si>
  <si>
    <t xml:space="preserve">       - TE-หน่วยงานโอนเงินนอกงบประมาณให้กรมบัญชีกลาง</t>
  </si>
  <si>
    <t xml:space="preserve">       - TE-หน่วยงานโอนเงินรายได้แผ่นดินให้กรมบัญชีกลาง</t>
  </si>
  <si>
    <t xml:space="preserve">       - TE-ปรับเงินฝากคลัง</t>
  </si>
  <si>
    <t xml:space="preserve">       - TE-ภายในกรมเดียวกัน</t>
  </si>
  <si>
    <t>รายงานการคำนวณต้นทุนผลผลิต</t>
  </si>
  <si>
    <t>1.  เพิ่มขีดความสามารถของแรงงานรองรับประชาคมอาเซียน</t>
  </si>
  <si>
    <t>3.  ยกระดับทักษะฝีมือแรงงานให้มีศักยภาพและผลิตภาพเพื่อการแข่งขัน</t>
  </si>
  <si>
    <t>10.  พัฒนาระบบฝึกอบรมฝีมือแรงงาน</t>
  </si>
  <si>
    <t>12.  พัฒนาศักยภาพแรงงานเพื่อรองรับการจ่ายค่าจ้างตามมาตรฐานฝีมือแรงงาน</t>
  </si>
  <si>
    <t xml:space="preserve">     และการประกอบอาชีพ</t>
  </si>
  <si>
    <t>ต้นทุนผลผลิตประจำปีงบประมาณ พ.ศ. 2557 (ต.ค. 56-ก.ย. 57)</t>
  </si>
  <si>
    <t>ค่าใช้จ่ายทางตรงปีงบประมาณ  พ.ศ. 2557</t>
  </si>
  <si>
    <t>งบประมาณ  พ.ศ. 2557</t>
  </si>
  <si>
    <t>7.  จัดทำหลักเกณฑ์ พัฒนา/ส่งเสริมมาตรฐานฝีมือแรงงาน</t>
  </si>
  <si>
    <t xml:space="preserve">      การพัฒนาฝีมือแรงงาน พ.ศ. 2545</t>
  </si>
  <si>
    <t xml:space="preserve">       ฝีมือแรงงานตามพระราชบัญญัติส่งเสริมการพัฒนาฝีมือแรงงานพ.ศ. 2545 </t>
  </si>
  <si>
    <t>1.  เพิ่มขีดความสามารถของแรงงานรองรับ</t>
  </si>
  <si>
    <t xml:space="preserve">     ประชาคมอาเซียน</t>
  </si>
  <si>
    <t>11.  พัฒนามาตรฐานฝีมือแรงงานแห่งชาติ</t>
  </si>
  <si>
    <t>13.  พัฒนาระบบรับรองมาตรฐานฝีมือแรงงานแห่งชาติ</t>
  </si>
  <si>
    <t>14.  พัฒนาศักยภาพแรงงานเพื่อรองรับการจ่ายค่าจ้างตามมาตรฐานฝีมือแรงงาน</t>
  </si>
  <si>
    <t xml:space="preserve">      แห่งชาติ</t>
  </si>
  <si>
    <t xml:space="preserve">      ค่าจ้างตามมาตรฐานฝีมือแรงงาน</t>
  </si>
  <si>
    <t>1.  สถาบันพัฒนาฝีมือแรงงานภาค 12 แห่ง</t>
  </si>
  <si>
    <t>4.  กองส่งเสริมการพัฒนาฝีมือแรงงาน</t>
  </si>
  <si>
    <t>วิเคราะห์สาเหตุของการเปลี่ยนแปลงของต้นทุนต่อหน่วยผลผลิตย่อย</t>
  </si>
  <si>
    <t>2.  ศูนย์พัฒนาฝีมือแรงงาน 64 แห่ง</t>
  </si>
  <si>
    <t xml:space="preserve">    </t>
  </si>
  <si>
    <t>ประจำปีงบประมาณ พ.ศ. 2558</t>
  </si>
  <si>
    <t>4.  สถาบันพัฒนาบุคลากรในอุตสาหกรรม</t>
  </si>
  <si>
    <t>ยานยนต์และชิ้นส่วนอะไหล่ยานยนต์</t>
  </si>
  <si>
    <t>ตารางเปรียบเทียบผลการคำนวณต้นทุนผลผลิตระหว่างปีงบประมาณ พ.ศ. 2557 และปีงบประมาณ พ.ศ. 2558</t>
  </si>
  <si>
    <t>ต้นทุนผลผลิตประจำปีงบประมาณ พ.ศ. 2558 (ต.ค. 57-ก.ย. 58)</t>
  </si>
  <si>
    <t>แห่ง</t>
  </si>
  <si>
    <t>12.  การแข่งขันฝีมือแรงงาน</t>
  </si>
  <si>
    <t>5.  กลุ่มงานอุตสาหกรรมบริการ (สพท.)</t>
  </si>
  <si>
    <t>6.  ทดสอบมาตรฐานฝีมือแรงงาน</t>
  </si>
  <si>
    <t>8.  พัฒนาระบบฝึกอบรมฝีมือแรงงาน</t>
  </si>
  <si>
    <t>9.  ส่งเสริมและสนับสนุนให้สถานประกอบกิจการดำเนินการฝึกอบรม</t>
  </si>
  <si>
    <t>10.  พัฒนาศักยภาพแรงงานเพื่อรองรับการจ่ายค่าจ้างตามมาตรฐานฝีมือแรงงาน</t>
  </si>
  <si>
    <t>11.  ฝึกอบรมฝีมือแรงงานตามโครงการอันเนื่องมาจากพระราชดำริ</t>
  </si>
  <si>
    <t>12.  ฝึกอบรมคนพิการร่วมกับมูลนิธิขาเทียมในสมเด็จพระศรีนครินทรา</t>
  </si>
  <si>
    <t>14.  จัดตั้งศูนย์ฯในสถานประกอบการเทิดไท้พระบิดาแห่งมาตรฐาน</t>
  </si>
  <si>
    <t>15.  พัฒนาเทคโนโลยีสารสนเทศและการสื่อสาร</t>
  </si>
  <si>
    <t>6.  กองส่งเสริมการพัฒนาฯ</t>
  </si>
  <si>
    <t>15.  สำนักงานรับรองฯ</t>
  </si>
  <si>
    <t>3.  โครงการ ฝึกอบรมฝีมือแรงงานตามโครงการอันเนื่องมาจากพระราชดำริ</t>
  </si>
  <si>
    <t>11.  ส่งเสริมและสนับสนุนให้สถานประกอบกิจการดำเนินการ</t>
  </si>
  <si>
    <t>13.  ฝึกอบรมฝีมือแรงงานตามโครงการอันเนื่องมาจากพระราชดำริ</t>
  </si>
  <si>
    <t>14.  ฝึกอบรมคนพิการร่วมกับมูลนิธิขาเทียมในสมเด็จพระศรีนครินทราบรมราชชนนี</t>
  </si>
  <si>
    <t>15.  ฝึกอาชีพแรงงานกลุ่มเฉพาะ</t>
  </si>
  <si>
    <t>16.  จัดตั้งศูนย์ฯในสถานประกอบการเทิดไท้พระบิดาแห่งมาตรฐานการช่างไทย</t>
  </si>
  <si>
    <t>17.  พัฒนาเทคโนโลยีสารสนเทศและการสื่อสาร</t>
  </si>
  <si>
    <t>15.  ส่งเสริมมาตรฐานฝีมือแรงงานแห่งชาติ</t>
  </si>
  <si>
    <t>-</t>
  </si>
  <si>
    <t>รายงานเปรียบเทียบผลการคำนวณต้นทุนผลผลิตระหว่างปีงบประมาณ พ.ศ. 2557 และ ปีงบประมาณ พ.ศ 2558</t>
  </si>
  <si>
    <t>งบประมาณ  พ.ศ. 2558</t>
  </si>
  <si>
    <t>ค่าใช้จ่ายทางตรงปีงบประมาณ  พ.ศ. 2558</t>
  </si>
  <si>
    <t xml:space="preserve">      ฝีมือแรงงานตามพระราชบัญญัติส่งเสริมการพัฒนาฝีมือแรงงานพ.ศ. 2545</t>
  </si>
  <si>
    <t>1.  โครงการ เสริมสร้างธรรมาภิบาลป้องกันและลดความเสี่ยง</t>
  </si>
  <si>
    <t xml:space="preserve">     ในการเกิดการทุจริตและประพฤติมิชอบ</t>
  </si>
  <si>
    <t>2.  เพิ่มประสิทธิภาพของแรงงานรองรับประชาคมอาเซียน</t>
  </si>
  <si>
    <t>3.   โครงการ ฝึกอบรมฝีมือแรงงานตามโครงการอันเนื่องมาจาก</t>
  </si>
  <si>
    <t xml:space="preserve">     พระราชดำริ</t>
  </si>
  <si>
    <t>4.  พัฒนาฝีมือแรงงานไทยให้มีผลิตภาพสูงขึ้นเพิ่มขีดความสามารถ</t>
  </si>
  <si>
    <t xml:space="preserve">     ในการแข่งขัน</t>
  </si>
  <si>
    <t>5.  พัฒนาศักยภาพฝีมือแรงงานทั้งระบบให้สอดคล้องกับความต้องการ</t>
  </si>
  <si>
    <t xml:space="preserve">    ของตลาดแรงงานและการประกอบอาชีพ</t>
  </si>
  <si>
    <t>6.  โครงการ พัฒนาศักยภาพแรงงานเพื่อรองรับการจ่ายค่าจ้างตาม</t>
  </si>
  <si>
    <t xml:space="preserve">     มาตรฐานฝีมือแรงงาน</t>
  </si>
  <si>
    <t xml:space="preserve">โครงการ  เสริมสร้างธรรมาภิบาลป้องกันและลดความเสี่ยงในการเกิดการทุจริตและประพฤติมิชอบ มีต้นทุนต่อหน่วยเพิ่มขึ้นร้อยละ 100 เนื่องจาก ได้ดำเนินการตามแผนยุทธศาสตร์การจัดสรรงบประมาณประจำปี 2558 </t>
  </si>
  <si>
    <t xml:space="preserve">ผลผลิต  เพิ่มประสิทธิภาพของแรงงานรองรับประชาคมเศรษฐกิจอาเซียน มีต้นทุนต่อหน่วยลดลงร้อยละ 29.76 เนื่องจาก มีเป้าหมายและผลการดำเนินงานเพิ่มขึ้นในปีงบประมาณ 2558 เพื่อรองรับประชาคมเศรษฐกิจอาเซียน (AEC) </t>
  </si>
  <si>
    <t xml:space="preserve">          โดยได้ดำเนินการพัฒนาฝีมือแรงงานส่งเสริมศักยภาพอุตสาหกรรมยานยนต์และชิ้นส่วน การพัฒนาศักยภาพแรงงานไทยเพื่อส่งเสริมความสามารถของภาคบริการและการท่องเที่ยวสู่รายได้และการข่งขัน </t>
  </si>
  <si>
    <t xml:space="preserve">          การพัฒนาฝีมือแรงงานรองรับการพัฒนาโครงสร้างพื้นฐานคมนาคมและการขนส่ง การฝึกอบรมฝีมือแรงงานรองรับการพัฒนาพื้นที่เศรษฐกิจชายแดน  ภายใต้ผลผลิต ดังกล่าว</t>
  </si>
  <si>
    <t>ผลผลิต  พัฒนาฝีมือแรงงานไทยให้มีผลิตภาพสูงขึ้นเพิ่มขีดความสามารถในการแข่งขัน มีต้นทุนต่อหน่วยลดลงร้อยละ 100 เนื่องจาก ในปีงบประมาณ 2558 ดำเนินการภายใต้ผลผลิต พัฒนาศักยภาพฝีมือแรงงานทั้งระบบให้</t>
  </si>
  <si>
    <t xml:space="preserve">          สอดคล้องกับความต้องของตลาดแรงงานและการประกอบอาชีพ</t>
  </si>
  <si>
    <t>โครงการ  พัฒนาศักยภาพแรงงานเพื่อรองรับการจ่ายค่าจ้างตามมาตรฐานฝีมือแรงงาน มีต้นทุนต่อหน่วยลดลงร้อยละ 100 เนื่องจาก  ในปีงบประมาณ 2558 ดำเนินการภายใต้ผลผลิต พัฒนาศักยภาพฝีมือแรงงานทั้งระบบให้</t>
  </si>
  <si>
    <t xml:space="preserve">             สอดคล้องกับความต้องการของตลาดแรงงานและการประกอบอาชีพ</t>
  </si>
  <si>
    <t xml:space="preserve">-ค่าเสื่อมราคา  มีต้นทุนต่อหน่วยเพิ่มขึ้น เนื่องจาก กรมฯ มีภารกิจเพิ่มขึ้น ซึ่งในระหว่างปีมีการจัดหาครุภัณฑ์ เพื่อการพัฒนาฝีมือแรงงาน โดยการฝึกอบรมเพื่อรองรับประชาคมเศรษฐกิจอาเซียน (AEC) </t>
  </si>
  <si>
    <t>1.  โครงการเสริมสร้างธรรมาภิบาลป้องกันและลดความเสี่ยงในการเกิดการทุจริตและ</t>
  </si>
  <si>
    <t>2.  เพิ่มประสิทธิภาพของแรงงานรองรับประชาคมเศรษฐกิจอาเซียน</t>
  </si>
  <si>
    <t>4.  พัฒนาศักยภาพแรงงานทั้งระบบให้สอดคล้องกับความต้องการของตลาดแรงงาน</t>
  </si>
  <si>
    <t>3.   ยกระดับทักษะฝีมือแรงงานให้มีศักยภาพและ</t>
  </si>
  <si>
    <t>- มีต้นทุนต่อหน่วยลดลง ร้อยละ 40.81</t>
  </si>
  <si>
    <t>- มีต้นทุนต่อหน่วยลดลง ร้อยละ 61.90</t>
  </si>
  <si>
    <t>- มีต้นทุนต่อหน่วยลดลง ร้อยละ 37.47</t>
  </si>
  <si>
    <t>- มีต้นทุนต่อหน่วยเพิ่มขึ้น ร้อยละ 83.04</t>
  </si>
  <si>
    <t>- มีต้นทุนต่อหน่วยเพิ่มขึ้น ร้อยละ 32.61</t>
  </si>
  <si>
    <t>- มีต้นทุนต่อหน่วยลดลง ร้อยละ 63.24</t>
  </si>
  <si>
    <t>- มีต้นทุนต่อหน่วยเพิ่มขึ้น ร้อยละ 110.06</t>
  </si>
  <si>
    <t>- มีต้นทุนต่อหน่วยเพิ่มขึ้น ร้อยละ 67.69</t>
  </si>
  <si>
    <t>- มีต้นทุนต่อหน่วยเพิ่มขึ้น ร้อยละ 65.87</t>
  </si>
  <si>
    <t>- มีต้นทุนต่อหน่วยเพิ่มขึ้น ร้อยละ 21.87</t>
  </si>
  <si>
    <t>4.   พัฒนาฝีมือเพื่อเพิ่มโอกาสในการประกอบอาชีพ</t>
  </si>
  <si>
    <t xml:space="preserve">     ต้นทุนต่อหน่วยเพิ่มขึ้น ร้อยละ  22.68</t>
  </si>
  <si>
    <t>รายงานเปรียบเทียบผลการคำนวณต้นทุนผลผลิตระหว่างปีงบประมาณ พ.ศ. 2557  และ ปีงบประมาณ พ.ศ 2558</t>
  </si>
  <si>
    <t xml:space="preserve">    ยานยนต์และชิ้นส่วนอะไหล่ยานยนต์</t>
  </si>
  <si>
    <t xml:space="preserve">5.  กลุ่มงานอุตสาหกรรมบริการ </t>
  </si>
  <si>
    <t xml:space="preserve">5.  กลุ่มงานอุตสาหกรรมบริการ  </t>
  </si>
  <si>
    <t>6.  กองส่งเสริมการพัฒนาฝีมือแรงงาน</t>
  </si>
  <si>
    <t>6.  กองส่งเสริมการพัฒนาฝีมือ แรงงาน</t>
  </si>
  <si>
    <t>15.สำนักงานรับรองความรู้ความสามารถ</t>
  </si>
  <si>
    <t>1.  เสริมสร้างธรรมาภิบาลป้องกันและลดความเสี่ยงในการเกิดการทุจริต</t>
  </si>
  <si>
    <t>2.  เพิ่มขีดความสามารถของแรงงานรองรับประชาคมอาเซียน</t>
  </si>
  <si>
    <t>3.  พัฒนาฝีมือและศักยภาพกลุ่มเครือข่ายแรงงานนานาชาติ</t>
  </si>
  <si>
    <t>4.  ฝึกอบรมฝีมือแรงงานตามโครงการอันเนื่องมาจากพระราชดำริ</t>
  </si>
  <si>
    <t>5.  ฝึกอบรมคนพิการร่วมกับมูลนิธิขาเทียมในสมเด็จพระศรีนครินทรา</t>
  </si>
  <si>
    <t>6.  ฝึกอาชีพแรงงานกลุ่มเฉพาะ</t>
  </si>
  <si>
    <t>7.  จัดตั้งศูนย์ฯในสถานประกอบการเทิดไท้พระบิดาแห่งมาตรฐาน</t>
  </si>
  <si>
    <t>8.  ยกระดับทักษะฝีมือแรงงานให้มีศักยภาพและผลิตภาพเพื่อการแข่งขัน</t>
  </si>
  <si>
    <t>9.  พัฒนาฝีมือเพื่อเพิ่มโอกาสในการประกอบอาชีพ</t>
  </si>
  <si>
    <t>10.  พัฒนา/ส่งเสริมการประกอบอาชีพอิสระ</t>
  </si>
  <si>
    <t>11.  ทดสอบมาตรฐานฝีมือแรงงาน</t>
  </si>
  <si>
    <t>12.  จัดทำหลักเกณฑ์ พัฒนา/ส่งเสริมมาตรฐานฝีมือแรงงาน</t>
  </si>
  <si>
    <t>13.  พัฒนาระบบฝึกอบรมฝีมือแรงงาน</t>
  </si>
  <si>
    <t>14.  ส่งเสริมและสนับสนุนให้สถานประกอบกิจการดำเนินการฝึกอบรม</t>
  </si>
  <si>
    <t>15.  พัฒนาศักยภาพแรงงานเพื่อรองรับการจ่ายค่าจ้างตามมาตรฐานฝีมือแรงงาน</t>
  </si>
  <si>
    <t>16.  พัฒนาเทคโนโลยีสารสนเทศและการสื่อสาร</t>
  </si>
  <si>
    <t>5.  ฝึกอบรมคนพิการร่วมกับมูลนิธิขาเทียมในสมเด็จพระศรีนครินทราบรมราชชนนี</t>
  </si>
  <si>
    <t>7.  จัดตั้งศูนย์ฯในสถานประกอบการเทิดไท้พระบิดาแห่งมาตรฐานการช่างไทย</t>
  </si>
  <si>
    <t>11.  พัฒนาฝีมือและศักยภาพแรงงานก่อนเข้าสู่ตลาดแรงงาน</t>
  </si>
  <si>
    <t>12.  ทดสอบมาตรฐานฝีมือแรงงาน</t>
  </si>
  <si>
    <t>13.  ยกระดับฝีมือและศักยภาพแรงงาน</t>
  </si>
  <si>
    <t>14.  จัดทำหลักเกณฑ์ พัฒนา/ส่งเสริมมาตรฐานฝีมือแรงงาน</t>
  </si>
  <si>
    <t>15.  พัฒนาระบบการฝึกอบรมฝีมือแรงงาน</t>
  </si>
  <si>
    <t>16.  ส่งเสริมและสนับสนุนให้สถานประกอบกิจการดำเนินการฝึกอบรม</t>
  </si>
  <si>
    <t>17.  พัฒนาศักยภาพแรงงานเพื่อรองรับการจ่ายค่าจ้างตามมาตรฐานฝีมือแรงงาน</t>
  </si>
  <si>
    <t>18.  พัฒนาเทคโนโลยีสารสนเทศและการสื่อสาร</t>
  </si>
  <si>
    <t xml:space="preserve">      เนื่องจาก กรมฯ ได้ปรับลดเป้าหมายการดำเนินงานลง ซึ่งมีภารกิจที่ต้องดำเนินการฝึกอบรมเพื่อรองรับประชาคมเศรษฐกิจ</t>
  </si>
  <si>
    <t xml:space="preserve">      อาเซียน (AEC)   </t>
  </si>
  <si>
    <t>9.   พัฒนาฝีมือเพื่อเพิ่มโอกาสในการประกอบอาชีพ</t>
  </si>
  <si>
    <t>13.  พัฒนาระบบการฝึกอบรมฝีมือแรงงาน</t>
  </si>
  <si>
    <t>14.  ส่งเสริมและสนับสนุนให้สถานประกอบกิจการดำเนินการฝึกอบรมฝีมือแรงงานตามพระราชบัญญัติส่งเสริม</t>
  </si>
  <si>
    <t xml:space="preserve">    ประพฤติมิชอบ</t>
  </si>
  <si>
    <t xml:space="preserve">    และประพฤติมิชอบ </t>
  </si>
  <si>
    <t xml:space="preserve">    บรมราชชนนี</t>
  </si>
  <si>
    <t xml:space="preserve">    การช่างไทย</t>
  </si>
  <si>
    <t xml:space="preserve">      -  มีต้นทุนรวมต่อหน่วยเพิ่มขึ้น ร้อยละ  23.81  </t>
  </si>
  <si>
    <t xml:space="preserve">      -  มีต้นทุนรวมต่อหน่วยเพิ่มขึ้น ร้อยละ  45.94  </t>
  </si>
  <si>
    <t>เนื่องจาก กรมมีผลการดำเนินงานเพิ่มขึ้น ซึ่งมีภารกิจที่ต้องดำเนินการฝึกอบรม เพื่อรองรับปะชาคมเศรษฐกิจ</t>
  </si>
  <si>
    <t xml:space="preserve">อาเซียน (AEC)  </t>
  </si>
  <si>
    <t>เนื่องจาก กรมมีเป้าหมายในการดำเนินงานเพิ่มขึ้น และมีผู้สนใจเข้ารับการฝึกอบรมจำนวนมาก</t>
  </si>
  <si>
    <t xml:space="preserve"> ทั้งนี้ เป้าหมายการฝึกอบรมเพื่อให้สอดคล้องกับความต้องการของสถานประกอบกิจการ</t>
  </si>
  <si>
    <t xml:space="preserve">เนื่องจาก กรมมีเป้าหมายในการดำเนินงานเพิ่มขึ้น ซึ่งมีภารกิจที่ต้องดำเนินการฝึกอบรมเพื่อรองรับประชาคมเศรษฐกิจ </t>
  </si>
  <si>
    <t>อาเซียน (AEC)</t>
  </si>
  <si>
    <t>เนื่องจาก กรมมีเป้าหมายในการดำเนินงานเพิ่มขึ้น</t>
  </si>
  <si>
    <t>เนื่องจาก กรมมีเป้าหมายในการดำเนินงานลดลง ประกอบกับมีจำนวนผู้เข้ารับการฝึกจำนวนมากขึ้น</t>
  </si>
  <si>
    <t>- มีต้นทุนต่อหน่วยเพิ่มขึ้น ร้อยละ 42.15</t>
  </si>
  <si>
    <t>- มีต้นทุนต่อหน่วยลดลง ร้อยละ 28.04</t>
  </si>
  <si>
    <t>- มีต้นทุนต่อหน่วยลดลง ร้อยละ 20.15</t>
  </si>
  <si>
    <t>- มีต้นทุนต่อหน่วยลดลง ร้อยละ 38.16</t>
  </si>
  <si>
    <t xml:space="preserve">      ผลิตภาพเพื่อการแข่งขัน</t>
  </si>
  <si>
    <t xml:space="preserve">      ตลาดแรงงาน</t>
  </si>
  <si>
    <t xml:space="preserve">     อันเนื่องมาจากพระราชดำริ</t>
  </si>
  <si>
    <t xml:space="preserve">     พ.ร.บ. 2545</t>
  </si>
  <si>
    <t xml:space="preserve">       สมเด็จพระศรีนครินทราบรมราชชนนี</t>
  </si>
  <si>
    <t xml:space="preserve">       พระบิดาแห่งมาตรฐานการช่างไทย</t>
  </si>
  <si>
    <t xml:space="preserve">      ราชการ</t>
  </si>
  <si>
    <t xml:space="preserve">      บรมราชชนนี</t>
  </si>
  <si>
    <t>13.  ฝึกอาชีพแรงงานกลุ่มเฉพาะ</t>
  </si>
  <si>
    <t xml:space="preserve">      การช่างไทย</t>
  </si>
  <si>
    <t xml:space="preserve">     ฝีมือแรงงานตามพระราชบัญญัติส่งเสริมการพัฒนาฝีมือแรงงาน </t>
  </si>
  <si>
    <t xml:space="preserve">     พ.ศ. 2545</t>
  </si>
  <si>
    <t>1.   เสริมสร้างธรรมาภิบาลป้องกันและลดความเสี่ยงฯ</t>
  </si>
  <si>
    <t xml:space="preserve">     ต้นทุนต่อหน่วยเพิ่มขึ้น ร้อยละ  100</t>
  </si>
  <si>
    <t xml:space="preserve">      เนื่องจาก เป็นกิจกรรมใหม่ มีเป้าหมายดำเนินการในปีงบประมาณ 2558 (ในปีงบประมาณ 2557 ไม่ได้ดำเนินการ)</t>
  </si>
  <si>
    <t xml:space="preserve">     ต้นทุนต่อหน่วยลดลง ร้อยละ  31.35</t>
  </si>
  <si>
    <t xml:space="preserve">      เนื่องจาก กรมฯ มีเป้าหมายและผลการดำเนินงานเพิ่มขึ้น  โดยได้ดำเนินการกิจกรรม พัฒนาฝีมือแรงงานส่งเสริมศักยภาพ</t>
  </si>
  <si>
    <t xml:space="preserve">      อุตสาหกรรมยานยนต์และชิ้นส่วน การพัฒนาศักยภาพแรงงานไทยเพื่อส่งเสริมความสามารถของภาคบริการและการท่องเที่ยว</t>
  </si>
  <si>
    <t xml:space="preserve">      สู่รายได้และการข่งขัน การพัฒนาฝีมือแรงงานรองรับการพัฒนาโครงสร้างพื้นฐานคมนาคมและการขนส่ง การฝึกอบรมฝีมือ</t>
  </si>
  <si>
    <t xml:space="preserve">      แรงงานรองรับการพัฒนาพื้นที่เศรษฐกิจชายแดน ในปี 2558 เพื่อรองรับประชาคมเศรษฐกิจอาเซียน (AEC) </t>
  </si>
  <si>
    <t xml:space="preserve">     ต้นทุนต่อหน่วยเพิ่มขึ้น ร้อยละ  99.63</t>
  </si>
  <si>
    <t xml:space="preserve">      เนื่องจาก กรมฯ มีเป้าหมายและผลการดำเนินงานเพิ่มขึ้น เพื่อรองรับประชาคมเศรษฐกิจอาเซียน (AEC) ประกอบกับ</t>
  </si>
  <si>
    <t xml:space="preserve">      ราคาสินค้า วัสดุ อุปกรณ์ปรับตัวสูงขึ้น</t>
  </si>
  <si>
    <t>4.   ฝึกอบรมฝีมือแรงงานตามโครงการอันเนื่องมาจากพระราชดำริ</t>
  </si>
  <si>
    <t xml:space="preserve">      เนื่องจาก เป็นกิจกรรมใหม่ ดำเนินการในปีงบประมาณ 2558 (ในปีงบประมาณ 2557 ไม่ได้ดำเนินการ)</t>
  </si>
  <si>
    <t>5.   ฝึกอบรมคนพิการร่วมกับมูลนิธิขาเทียมในสมเด็จพระศรีนครินทราบรมราชชนนี</t>
  </si>
  <si>
    <t>6.   ฝึกอาชีพกลุ่มแรงงานเฉพาะ</t>
  </si>
  <si>
    <t>7.   จัดตั้งศูนย์ทดสอบมาตรฐานฝีมือแรงงานในสถานประกอบกิจการเทิดไท้พระบิดาแห่งมาตรฐานการช่างไทย</t>
  </si>
  <si>
    <t xml:space="preserve">8.   ยกระดับทักษะฝีมือแรงงานฝีมือให้มีศักยภาพและผลิตภาพเพื่อการแข่งขัน </t>
  </si>
  <si>
    <t xml:space="preserve">     ต้นทุนต่อหน่วยเพิ่มขึ้น ร้อยละ  16,013.15</t>
  </si>
  <si>
    <t xml:space="preserve">      เนื่องจาก กรมฯ ได้ปรับเปลี่ยนหน่วยนับ ทำให้มีปริมาณหน่วยนับที่แตกต่างกัน ซึ่งไม่สามารถเปรียบเทียบได้</t>
  </si>
  <si>
    <t>10. พัฒนาฝีมือและศักยภาพแรงงานก่อนเข้าสู่ตลาดแรงงาน</t>
  </si>
  <si>
    <t xml:space="preserve">     ต้นทุนต่อหน่วยลดลง ร้อยละ  100</t>
  </si>
  <si>
    <t xml:space="preserve">      เนื่องจาก มีการปรับเปลี่ยนกิจกรรม ซึ่งได้ดำเนินการในปีงบประมาณ 2557 </t>
  </si>
  <si>
    <t>11. ยกระดับฝีมือและศักยภาพแรงงาน</t>
  </si>
  <si>
    <t xml:space="preserve">     ต้นทุนต่อหน่วยลดลงร้อยละ  100</t>
  </si>
  <si>
    <t xml:space="preserve">      เนื่องจาก มีการปรับเปลี่ยนกิจกรรม ซึ่งได้ดำเนินการในปีงบประมาณ 2557</t>
  </si>
  <si>
    <t>12  จัดทำหลักเกณฑ์ พัฒนา/ส่งเสริมมาตรฐานฝีมือแรงงาน</t>
  </si>
  <si>
    <t xml:space="preserve">     ต้นทุนต่อหน่วยเลดลง ร้อยละ  49.36</t>
  </si>
  <si>
    <r>
      <t xml:space="preserve">     </t>
    </r>
    <r>
      <rPr>
        <u val="singleAccounting"/>
        <sz val="16"/>
        <rFont val="TH SarabunPSK"/>
        <family val="2"/>
      </rPr>
      <t>เนื่องจาก</t>
    </r>
    <r>
      <rPr>
        <sz val="16"/>
        <rFont val="TH SarabunPSK"/>
        <family val="2"/>
      </rPr>
      <t xml:space="preserve">  มีจำนวนสาขาที่เข้าแข่งขันเพิ่มมากขึ้น เพื่อรองรับการเป็นประชาคมเศรษฐกิจอาเซียน ประกอบกับราคาสินค้า </t>
    </r>
  </si>
  <si>
    <t xml:space="preserve">     วัสดุ อุปกรณ์ปรับตัวสูงขึ้น</t>
  </si>
  <si>
    <t xml:space="preserve">     ต้นทุนต่อหน่วยเพิ่มขึ้น ร้อยละ  23.81</t>
  </si>
  <si>
    <r>
      <t xml:space="preserve">     </t>
    </r>
    <r>
      <rPr>
        <u val="singleAccounting"/>
        <sz val="16"/>
        <rFont val="TH SarabunPSK"/>
        <family val="2"/>
      </rPr>
      <t>เนื่องจาก</t>
    </r>
    <r>
      <rPr>
        <sz val="16"/>
        <rFont val="TH SarabunPSK"/>
        <family val="2"/>
      </rPr>
      <t xml:space="preserve">  จำนวนหลักสูตรน้อยลง ประกอบกับราคาสินค้า วัสดุ อุปกรณ์ปรับตัวสูงขึ้น</t>
    </r>
  </si>
  <si>
    <t xml:space="preserve">     ต้นทุนต่อหน่วยเพิ่มขึ้น ร้อยละ  2,642.84</t>
  </si>
  <si>
    <t xml:space="preserve">     เนื่องจาก มีการส่งเสริมและการสนับสนุนสถานประกอบกิจการ ให้ดำเนินการฝึกอบรมฝีมือแรงงานตามพระราชบัญญัติฯ </t>
  </si>
  <si>
    <t xml:space="preserve">     พ.ศ. 2545  ตามนโยบายรัฐบาล ส่งผลให้ผู้เข้ารับการฝึกอบรมเพิ่มขึ้น ประกอบกับราคาสินค้า วัสดุ อุปกรณ์ปรับตัวสูงขึ้น</t>
  </si>
  <si>
    <t xml:space="preserve">      ต้นทุนต่อหน่วยเพิ่มขึ้น ร้อยละ  100</t>
  </si>
  <si>
    <t xml:space="preserve">       เนื่องจาก เป็นกิจกรรมใหม่ ดำเนินการในปีงบประมาณ 2558 (ในปีงบประมาณ 2557 ไม่ได้ดำเนินการ)</t>
  </si>
  <si>
    <t>โครงการ  ฝึกอบรมฝีมือแรงงานตามโครงการอันเนื่องมาจากพระราชดำริ มีต้นทุนต่อหน่วยเพิ่มขึ้นร้อยละ 100 เนื่องจาก เป็นโครงการใหม่ ดำเนินการในปีงบประมาณ 2558 (ในปีงบประมาณ 2557 ไม่ได้ดำเนินการ)</t>
  </si>
  <si>
    <t xml:space="preserve">     เนื่องจาก  มีภารกิจในการพัฒนาฝีมือแรงงานด้านการฝึกอบรมฝีมือแรงงาน ทดสอบมาตรฐานฝีมือแรงงาน และส่งเสริมและ</t>
  </si>
  <si>
    <t xml:space="preserve">     ประสานการพัฒนาฝีมือแรงงาน การฝึกอบรมเพื่อรองรับประชาคมเศรษฐกิจอาเซียน (AEC)  โดยมีเป้าหมายและผลการดำเนินงาน</t>
  </si>
  <si>
    <t xml:space="preserve">     ในการดำเนินโครงการต่างๆ เพิ่มขึ้น ประกอบกับราคาสินค้า วัสดุ อุปกรณ์ปรับตัวสูงขึ้น</t>
  </si>
  <si>
    <t>3.   สถาบันพัฒนาบุคลากรในอุตสาหกรรมยานยนต์และชิ้นส่วนอะไหล่ยานยนต์</t>
  </si>
  <si>
    <t xml:space="preserve">      -  มีต้นทุนรวมต่อหน่วยเพิ่มขึ้น ร้อยละ  100</t>
  </si>
  <si>
    <t xml:space="preserve">     เนื่องจาก  กรมฯ ได้มีการปรับโครงสร้างใหม่ โดยจัดตั้งหน่วยงานในปี 2558    </t>
  </si>
  <si>
    <t xml:space="preserve">      -  มีต้นทุนรวมต่อหน่วยเพิ่มขึ้น ร้อยละ  26.68  </t>
  </si>
  <si>
    <t xml:space="preserve">     พ.ศ. 2545  ตามนโยบายรัฐบาล ประกอบกับราคาสินค้า วัสดุ อุปกรณ์ปรับตัวสูงขึ้น</t>
  </si>
  <si>
    <t>5.  สำนักงานผู้ตรวจราชการกรม</t>
  </si>
  <si>
    <t xml:space="preserve">      -  มีต้นทุนรวมต่อหน่วยเพิ่มขึ้น ร้อยละ  49.08</t>
  </si>
  <si>
    <t xml:space="preserve">     เนื่องจาก มีภารกิจในการตรวจติดตามและเร่งรัดการดำเนินงานของกรมฯ ประกอบกับราคาสินค้า วัสดุ อุปกรณ์ปรับตัวสูงขึ้น</t>
  </si>
  <si>
    <t>6.  สำนักงานเลขานุการกรม</t>
  </si>
  <si>
    <t xml:space="preserve">      -  มีต้นทุนรวมต่อหน่วยลดลง ร้อยละ  32.20</t>
  </si>
  <si>
    <t xml:space="preserve">     เนื่องจาก มีการรณรงค์ในการประหยัดพลังงาน</t>
  </si>
  <si>
    <t>7.  กองแผนงานและสารสนเทศ</t>
  </si>
  <si>
    <t xml:space="preserve">      -  มีต้นทุนรวมต่อหน่วยลดลง ร้อยละ  60.61</t>
  </si>
  <si>
    <t xml:space="preserve">     เนื่องจาก มีค่าใช้จ่ายในการซ่อมแซมและบำรุงรักษา ค่าสาธารณูปโภคลดลง ทั้งนี้ ได้มีการประหยัดงบประมาณ</t>
  </si>
  <si>
    <t>8.   สำนักพัฒนามาตรฐานและทดสอบฝีมือแรงงาน</t>
  </si>
  <si>
    <t xml:space="preserve">      -  มีต้นทุนรวมต่อหน่วยลดลง ร้อยละ  37.84</t>
  </si>
  <si>
    <t xml:space="preserve">      -  มีต้นทุนรวมต่อหน่วยเพิ่มขึ้น ร้อยละ  20.85</t>
  </si>
  <si>
    <t xml:space="preserve">     เนื่องจาก  มีการจัดประชุมคณะทำงานจัดสรรงบประมาณระหว่างปี การเร่งรัด ติดตามต่างๆ ประกอบกับราคาสินค้า วัสดุ อุปกรณ์</t>
  </si>
  <si>
    <t xml:space="preserve">     ปรับตัวสูงขึ้นฯลฯ</t>
  </si>
  <si>
    <t xml:space="preserve">      -  มีต้นทุนรวมต่อหน่วยเพิ่มขึ้นง ร้อยละ  126.10</t>
  </si>
  <si>
    <t xml:space="preserve">     เนื่องจาก มีการจัดประชุมโครงการต่างๆ พิธีลงนามกับหน่วยงานภาครัฐและเอกชน การส่งเสริมเครือข่ายพัฒนาฝีมือแรงงาน </t>
  </si>
  <si>
    <t xml:space="preserve">     ภารกิจเกี่ยวกับเลขานุการคณะกรรมการพัฒนาแรงงานและประสานงานการฝึกอาชีพแห่งชาติ (กพร.ปช.) ซึ่งมีการประสานงาน</t>
  </si>
  <si>
    <t xml:space="preserve">     บุคลากรที่เกี่ยวข้องและคณะอนุกรรมการคณะต่างๆ และการบริหารจัดการเกี่ยวกับค่าใช้จ่ายต่างๆ พร้อมจัดหาวัสดุ อุปกรณ์ </t>
  </si>
  <si>
    <t xml:space="preserve">     เพื่ออำนวยความสะดวกให้กับเจ้าหน้าที่ในการปฏิบัติงาน ทำให้มีค่าใช้จ่ายต่างๆ เพิ่มขึ้น</t>
  </si>
  <si>
    <t xml:space="preserve">      -  มีต้นทุนรวมต่อหน่วยเพิ่มขึ้น ร้อยละ  174.93</t>
  </si>
  <si>
    <t xml:space="preserve">     เนื่องจาก มีค่าใช้จ่ายในการจ้างที่ปรึกษาของปีก่อนมาเบิกจ่ายในปี 2558 และได้ดำเนินการจัดประชุมสัมมนา เกี่ยวกับการจัดทำ</t>
  </si>
  <si>
    <t xml:space="preserve">     คู่มือสำหรับประชาชน การสัมมนาเกี่ยวกับการขับเคลื่อนบทบาทภารกิจกรมพัฒนาฝีมือแรงงาน   </t>
  </si>
  <si>
    <t>16.  ด้านพัฒนาและจัดทำหลักสูตรการฝึกอบรมฝีมือแรงงาน</t>
  </si>
  <si>
    <t>17.  ด้านพัฒนาและจัดทำชุดการฝึกอบรมฝีมือแรงงาน (ต้นแบบ)</t>
  </si>
  <si>
    <t>18.  ด้านพัฒนาและจัดทำสื่อการฝึกอบรมฝีมือแรงงาน</t>
  </si>
  <si>
    <t>19.  ด้านพัฒนาบุคลากรฝึก</t>
  </si>
  <si>
    <t>20.  ด้านคัดเลือกครูฝึกดีเด่น</t>
  </si>
  <si>
    <t>21.  ด้านการพัฒนาระบบและรูปแบบการฝึก</t>
  </si>
  <si>
    <t>22.  ด้านการประกันคุณภาพการพัฒนาฝีมือแรงงาน</t>
  </si>
  <si>
    <t>23.  ด้านนิเทศการดำเนินงานฝึกอบรมฝีมือแรงงาน</t>
  </si>
  <si>
    <t>24.  พัฒนาสถานฝึก</t>
  </si>
  <si>
    <t>25.  พัฒนาครุภัณฑ์การฝึก</t>
  </si>
  <si>
    <t>26.  ด้านการเงินและบัญชี</t>
  </si>
  <si>
    <t>27.  ด้านการพัสดุ (จัดซื้อจัดจ้าง)</t>
  </si>
  <si>
    <t>28.  ด้านบริหารบุคลากร</t>
  </si>
  <si>
    <t>29.  ด้านพัฒนาทรัพยากรบุคคล</t>
  </si>
  <si>
    <t xml:space="preserve">30.  ด้านงานกฏหมายของกรมพัฒนาฝีมือแรงงาน  </t>
  </si>
  <si>
    <t>31.  ส่งเสริมประสานความร่วมมือกับภาครัฐ/เอกชน</t>
  </si>
  <si>
    <t>32.  ด้านพัฒนาระบบบริหารราชการ</t>
  </si>
  <si>
    <t>33.  ดำเนินการเกี่ยวกับระบบควบคุมภายในของกรม</t>
  </si>
  <si>
    <t>34.  ด้านการตรวจสอบภายใน</t>
  </si>
  <si>
    <t>35.  การประสานความร่วมมือด้านงานต่างประเทศ</t>
  </si>
  <si>
    <t>36.  ด้านเทคโนโลยีสารสนเทศภายในหน่วยงาน</t>
  </si>
  <si>
    <t>37.  ด้านเครื่อข่ายอินเตอร์เน็ตและเว็บไซต์</t>
  </si>
  <si>
    <t xml:space="preserve">    และประพฤติมิชอบ</t>
  </si>
  <si>
    <t>18. ด้านพัฒนาและจัดทำสื่อการฝึกอบรมฝีมือแรงงาน</t>
  </si>
  <si>
    <t>23.  พัฒนาสถานฝึก</t>
  </si>
  <si>
    <t>24.  พัฒนาครุภัณฑ์การฝึก</t>
  </si>
  <si>
    <t>25.  ด้านการเงินและบัญชี</t>
  </si>
  <si>
    <t>26.  ด้านการพัสดุ (จัดซื้อจัดจ้าง)</t>
  </si>
  <si>
    <t>27.  ด้านบริหารบุคลากร</t>
  </si>
  <si>
    <t>28.  ด้านพัฒนาทรัพยากรบุคคล</t>
  </si>
  <si>
    <t xml:space="preserve">29.  ด้านงานกฏหมายของกรมพัฒนาฝีมือแรงงาน  </t>
  </si>
  <si>
    <t>30.  ส่งเสริมประสานความร่วมมือกับภาครัฐ/เอกชน</t>
  </si>
  <si>
    <t>31.  ด้านพัฒนาระบบบริหารราชการ</t>
  </si>
  <si>
    <t>32.  ดำเนินการเกี่ยวกับระบบควบคุมภายในของกรม</t>
  </si>
  <si>
    <t>33.  ด้านการตรวจสอบภายใน</t>
  </si>
  <si>
    <t>34.  การประสานความร่วมมือด้านงานต่างประเทศ</t>
  </si>
  <si>
    <t>35.  ด้านเทคโนโลยีสารสนเทศภายในหน่วนงาน</t>
  </si>
  <si>
    <t>36.  ด้านเครื่อข่ายอินเตอร์เน็ตและเว็บไซต์</t>
  </si>
  <si>
    <t>37.  ด้านสำรวจและวางผังครุภัณฑ์และสิ่งก่อสร้าง</t>
  </si>
  <si>
    <t>- มีต้นทุนต่อหน่วยลดลง ร้อยละ 29.76</t>
  </si>
  <si>
    <t>- มีต้นทุนต่อหน่วยเพิ่มขึ้น ร้อยละ 104.23</t>
  </si>
  <si>
    <t>- มีต้นทุนต่อหน่วยเพิ่มขึ้น ร้อยละ 16,384.18</t>
  </si>
  <si>
    <t>- มีต้นทุนต่อหน่วยเพิ่มขึ้น ร้อยละ 25.51</t>
  </si>
  <si>
    <t>- มีต้นทุนต่อหน่วยลดลง ร้อยละ 48.19</t>
  </si>
  <si>
    <t>- มีต้นทุนต่อหน่วยลดลง ร้อยละ 30.88</t>
  </si>
  <si>
    <t>- มีต้นทุนต่อหน่วยเพิ่มขึ้น ร้อยละ 2,706</t>
  </si>
  <si>
    <t>- มีต้นทุนต่อหน่วยเพิ่มขึ้น ร้อยละ 55.95</t>
  </si>
  <si>
    <t>- มีต้นทุนต่อหน่วยเพิ่มขึ้น ร้อยละ 20.80</t>
  </si>
  <si>
    <t>- มีต้นทุนต่อหน่วยเพิ่มขึ้น ร้อยละ 28.75</t>
  </si>
  <si>
    <t>- มีต้นทุนต่อหน่วยเพิ่มขึ้น ร้อยละ 208.99</t>
  </si>
  <si>
    <t>- มีต้นทุนต่อหน่วยลดลง ร้อยละ 26.11</t>
  </si>
  <si>
    <t>- มีต้นทุนต่อหน่วยลดลง ร้อยละ 67.24</t>
  </si>
  <si>
    <t>- มีต้นทุนต่อหน่วยลดลง ร้อยละ 73.67</t>
  </si>
  <si>
    <t>5.   พัฒนาฝีมือและศักยภาพแรงงานก่อนเข้าสู่</t>
  </si>
  <si>
    <t>6.   ยกระดับฝีมือและศักยภาพแรงงาน</t>
  </si>
  <si>
    <t>7.   จัดทำหลักเกณฑ์ พัฒนา/ส่งเสริมมาตรฐาน</t>
  </si>
  <si>
    <t>8.   พัฒนาระบบฝึกอบรมฝีมือแรงงาน</t>
  </si>
  <si>
    <t xml:space="preserve">9.  ส่งเสริมให้สถานประกอบการดำเนินการตาม </t>
  </si>
  <si>
    <t>10.  ฝึกอบรมฝีมือแรงงานตามโครงการ</t>
  </si>
  <si>
    <t>11.   ฝึกอบรมคนพิการร่วมกับมูลนิธิขาเทียมใน</t>
  </si>
  <si>
    <t>12.  ฝึกอาชีพแรงงานกลุ่มเฉพาะ</t>
  </si>
  <si>
    <t>13.   จัดตั้งศูนย์ฯในสถานประกอบการเทิดไท้</t>
  </si>
  <si>
    <t>14.  พัฒนาเทคโนโลยีสารสนเทศและการสื่อสาร</t>
  </si>
  <si>
    <t>15.  ตรวจติดตามและให้คำแนะนำการปฏิบัติ</t>
  </si>
  <si>
    <t>16.  ด้านงานสารบรรณ</t>
  </si>
  <si>
    <t>17.  ด้านยานพาหนะ</t>
  </si>
  <si>
    <t>18.  ด้านประชาสัมพันธ์</t>
  </si>
  <si>
    <t>19.  ด้านอำนวยการ พิธีการและประสานราชการ</t>
  </si>
  <si>
    <t>20.  ด้านแผนงาน</t>
  </si>
  <si>
    <t>21.  ศึกษารูปแบบการพัฒนาศักยภาพแรงงาน</t>
  </si>
  <si>
    <t>22.  พัฒนามาตรฐานฝีมือแรงงานแห่งชาติ</t>
  </si>
  <si>
    <t>23.  พัฒนาระบบรับรองมาตรฐานฝีมือแรงงาน</t>
  </si>
  <si>
    <t>24.  พัฒนาศักยภาพแรงงานเพื่อรองรับการจ่าย</t>
  </si>
  <si>
    <t>25.  ส่งเสริมมาตรฐานฝีมือแรงงานแห่งชาติ</t>
  </si>
  <si>
    <t>26.  ด้านพัฒนาและจัดทำสื่อการฝึกอบรมฝีมือ</t>
  </si>
  <si>
    <t>27.   ด้านพัฒนาบุคลากรฝึก</t>
  </si>
  <si>
    <t>28.  ด้านคัดเลือกครูฝึกดีเด่น</t>
  </si>
  <si>
    <t>29.  ด้านการพัฒนาระบบและรูปแบบการฝึก</t>
  </si>
  <si>
    <t>30.  ด้านการประกันคุณภาพการพัฒนา</t>
  </si>
  <si>
    <t>31.  พัฒนาสถานฝึก</t>
  </si>
  <si>
    <t>32.  พัฒนาครุภัณฑ์การฝึก</t>
  </si>
  <si>
    <t>33.  ด้านงานกฎหมายของกรมพัฒนาฝีมือแรงงาน</t>
  </si>
  <si>
    <t>34.  ส่งเสริมประสานความร่วมมือกับภาครัฐ/เอกชน</t>
  </si>
  <si>
    <t>35.  ด้านพัฒนาระบบบริหารราชการ</t>
  </si>
  <si>
    <t>36.  ดำเนินการเกี่ยวกับระบบควบคุมภายในของกรม</t>
  </si>
  <si>
    <t>37.  ด้านการตรวจสอบภายใน</t>
  </si>
  <si>
    <t xml:space="preserve">38.  การประสานความร่วมมือด้านงานต่างประเทศ </t>
  </si>
  <si>
    <t>39.  ด้านเครื่อข่ายอินเตอร์เน็ตและเว็บไซต์</t>
  </si>
  <si>
    <t>40.  ด้านสำรวจและวางผังครุภัณฑ์และสิ่งก่อสร้าง</t>
  </si>
  <si>
    <t>เนื่องจาก กรมมีเป้าหมายในการดำเนินงานเพิ่มขึ้น และมีผลการดำเนินงานที่เพิ่มขึ้น</t>
  </si>
  <si>
    <t>ทั้งภาครัฐและเอกชนเพื่อเพิ่มความรู้ร่วมกันและนำไปถ่ายทอด</t>
  </si>
  <si>
    <t>เนื่องจาก มีการจัดทำและพัฒนาระบบการประกันคุณภาพเพื่อให้กระบวนการฝึกได้ตามมาตรฐาน</t>
  </si>
  <si>
    <t>เนื่องจาก มีภารกิจที่เกี่ยวข้องในด้านงานกฎหมายเพิ่มขึ้น</t>
  </si>
  <si>
    <t>เนื่องจาก ปีงบประมาณ 2558 ไม่ได้รับงบประมาณด้านค่าจ้างที่ปรึกษา</t>
  </si>
  <si>
    <t>เนื่องจาก ปีงบประมาณ 2558 ค่าเสื่อมราคา-อุปกรณ์คอมพิวเตอร์ลดลง</t>
  </si>
  <si>
    <t xml:space="preserve">เนื่องจาก มีการจัดจ้างที่ปรึกษา เพื่อจัดทำยุทธศาสตร์การพัฒนาบุคลากรด้านโลจิสติกส์และซัพพลายเชน </t>
  </si>
  <si>
    <t>มีการจัดจ้างที่ปรึกษาเพื่อจัดทำแผนแม่บทระบบสมรรถนะแรงงานตามความต้องการของประเทศ มีการจัดประชุม</t>
  </si>
  <si>
    <t>เนื่องจากมีการเปลี่ยนแปลงหน่วยนับ ทำให้ไม่สามารถเปรียบเทียบได้</t>
  </si>
  <si>
    <t xml:space="preserve">เนื่องจาก ดำเนินการในปีงบประมาณ 2557 (ในปีงบประมาณ 2558 ไม่ได้ดำเนินการ) </t>
  </si>
  <si>
    <t>เนื่องจาก ดำเนินการในปีงบประมาณ 2558 (ในปีงบประมาณ 2557 ไม่ได้ดำเนินการ)</t>
  </si>
  <si>
    <t xml:space="preserve">เนื่องจาก ดำเนินการในปีงบประมาณ 2558 (ในปีงบประมาณ 2557 ไม่ได้ดำเนินการ) </t>
  </si>
  <si>
    <t>เนื่องจาก ดำเนินการในปีงบประมาณ 2557 (ในปีงบประมาณ 2558 ไม่ได้ดำเนินการ)</t>
  </si>
  <si>
    <t>เนื่องจาก มีค่าใช้จ่ายในภารกิจเพิ่มขึ้น</t>
  </si>
  <si>
    <t>เนื่องจาก มีภารกิจเพิ่มขึ้น และได้ดำเนินการใช้จ่ายงบประมาณเป็นไปอย่างมีประสิทธิภาพตามนโยบายของรัฐบาล</t>
  </si>
  <si>
    <t>เนื่องจาก มีภารกิจลดลง และได้ดำเนินการใช้จ่ายงบประมาณเป็นไปอย่างมีประสิทธิภาพตามนโยบายของรัฐบาล</t>
  </si>
  <si>
    <t>เนื่องจาก ได้ดำเนินการโครงการต่างๆเพิ่มขึ้น</t>
  </si>
  <si>
    <t xml:space="preserve">เนื่องจาก ราคาสินค้า วัสดุ อุปกรณ์ปรับตัวสูงขึ้น </t>
  </si>
  <si>
    <t>เนื่องจาก มีจำนวนผู้เข้ารับการอบรมเพิ่มขึ้น ประกอบกับราคาสินค้า วัสดุ อุปกรณ์ปรับตัวสูงขึ้น</t>
  </si>
  <si>
    <t>เนื่องจาก มีการเปลี่ยนแปลงหน่วยนับ ทำให้ไม่สามารถเปรียบเทียบได้</t>
  </si>
  <si>
    <t>เนื่องจาก มีผู้เข้ารับการอบรมเพิ่มขึ้น มีการพัฒนาบุคลากรที่เกี่ยวข้องกับการพัฒนาทรัพยากรแรงงาน รวมทั้งหน่วยงานอื่นๆ</t>
  </si>
  <si>
    <t>เนื่องจาก มีการพัฒนากระบวนการพัฒนาครูฝึกเพื่อเพิ่มศักยภาพในการสอนให้มีมาตรฐานเพิ่มขึ้น</t>
  </si>
  <si>
    <t>เนื่องจาก มีการพัฒนาระบบและรูปแบบการฝึกเพื่อให้กระบวนการฝึกได้มาตรฐานเพิ่มขึ้น</t>
  </si>
  <si>
    <t>ในการแข่งขันในตลาดแรงงานสากลเพิ่มขึ้น</t>
  </si>
  <si>
    <t>สัมมนาโครงการอื่นๆ เพิ่มขึ้น</t>
  </si>
  <si>
    <t xml:space="preserve">เนื่องจาก ได้มีการจัดประชุม สัมมนา การจัดทำตัวชี้วัดของกรมฯเพิ่มขึ้น            </t>
  </si>
  <si>
    <t>เนื่องจาก ได้มีการจัดทำรายงานการควบคุมภายในมีหน่วยงานที่ต้องจัดส่งรายงานเพิ่มขึ้นอีก 1 หน่วยงาน</t>
  </si>
  <si>
    <t>คือ สถาบันยานยนต์และชิ้นส่วนอะไหล่ยานยนต์</t>
  </si>
  <si>
    <t>เนื่องจาก มีภารกิจในการตรวจสอบภายในเพิ่มขึ้น</t>
  </si>
  <si>
    <t xml:space="preserve">เนื่องจาก ได้มีการติดต่อ ประสานความร่วมมือระหว่างประเทศกับชาวต่างชาติเพิ่มมากขึ้น </t>
  </si>
  <si>
    <t>9.    สำนักพัฒนาผู้ฝึกและเทคโนโลยีการฝึก</t>
  </si>
  <si>
    <t xml:space="preserve">       -  มีต้นทุนรวมต่อหน่วยลดลง ร้อยละ 21.74</t>
  </si>
  <si>
    <t xml:space="preserve">      เนื่องจาก  มีภารกิจในการดำเนินโครงการต่างๆ มากกว่าเป้าหมายที่ได้ตั้งไว้</t>
  </si>
  <si>
    <t>10.  กองคลัง</t>
  </si>
  <si>
    <t>11.   กองยุทธศาสตร์และเครือข่ายการพัฒนาฝีมือแรงงาน</t>
  </si>
  <si>
    <t>13. สำนักงานรับรองความรู้ความสามารถ</t>
  </si>
  <si>
    <t xml:space="preserve">      เนื่องจาก มีภารกิจในการดำเนินโครงการต่างๆ เพิ่มขึ้น ประกอบกับราคาสินค้า วัสดุ อุปกรณ์ปรับตัวสูงขึ้น</t>
  </si>
</sst>
</file>

<file path=xl/styles.xml><?xml version="1.0" encoding="utf-8"?>
<styleSheet xmlns="http://schemas.openxmlformats.org/spreadsheetml/2006/main">
  <numFmts count="6">
    <numFmt numFmtId="43" formatCode="_-* #,##0.00_-;\-* #,##0.00_-;_-* &quot;-&quot;??_-;_-@_-"/>
    <numFmt numFmtId="187" formatCode="_(* #,##0.00_);_(* \(#,##0.00\);_(* &quot;-&quot;??_);_(@_)"/>
    <numFmt numFmtId="188" formatCode="_-* #,##0_-;\-* #,##0_-;_-* &quot;-&quot;??_-;_-@_-"/>
    <numFmt numFmtId="189" formatCode="\(#,##0.00;\(#,##0.00\)"/>
    <numFmt numFmtId="190" formatCode="\(#,##0.00\);\(#,##0.00\)"/>
    <numFmt numFmtId="191" formatCode="[&lt;=99999999][$-D000000]0\-####\-####;[$-D000000]#\-####\-####"/>
  </numFmts>
  <fonts count="29">
    <font>
      <sz val="10"/>
      <name val="Arial"/>
      <charset val="222"/>
    </font>
    <font>
      <sz val="10"/>
      <name val="Arial"/>
      <family val="2"/>
    </font>
    <font>
      <sz val="8"/>
      <name val="Arial"/>
      <family val="2"/>
    </font>
    <font>
      <sz val="18"/>
      <name val="TH SarabunPSK"/>
      <family val="2"/>
    </font>
    <font>
      <b/>
      <sz val="18"/>
      <name val="TH SarabunPSK"/>
      <family val="2"/>
    </font>
    <font>
      <sz val="16"/>
      <name val="TH SarabunPSK"/>
      <family val="2"/>
    </font>
    <font>
      <b/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u/>
      <sz val="16"/>
      <name val="TH SarabunPSK"/>
      <family val="2"/>
    </font>
    <font>
      <sz val="8"/>
      <name val="Arial"/>
      <family val="2"/>
    </font>
    <font>
      <b/>
      <sz val="26"/>
      <name val="TH SarabunPSK"/>
      <family val="2"/>
    </font>
    <font>
      <b/>
      <u/>
      <sz val="18"/>
      <name val="TH SarabunPSK"/>
      <family val="2"/>
    </font>
    <font>
      <u val="singleAccounting"/>
      <sz val="16"/>
      <name val="TH SarabunPSK"/>
      <family val="2"/>
    </font>
    <font>
      <sz val="16"/>
      <color indexed="14"/>
      <name val="TH SarabunPSK"/>
      <family val="2"/>
    </font>
    <font>
      <b/>
      <sz val="20"/>
      <name val="TH SarabunPSK"/>
      <family val="2"/>
    </font>
    <font>
      <b/>
      <u/>
      <sz val="20"/>
      <name val="TH SarabunPSK"/>
      <family val="2"/>
    </font>
    <font>
      <b/>
      <u/>
      <sz val="16"/>
      <color indexed="8"/>
      <name val="TH SarabunPSK"/>
      <family val="2"/>
    </font>
    <font>
      <sz val="20"/>
      <name val="TH SarabunPSK"/>
      <family val="2"/>
    </font>
    <font>
      <sz val="16"/>
      <color indexed="8"/>
      <name val="TH SarabunPSK"/>
      <family val="2"/>
    </font>
    <font>
      <b/>
      <sz val="10"/>
      <name val="TH SarabunPSK"/>
      <family val="2"/>
    </font>
    <font>
      <sz val="10"/>
      <name val="TH SarabunPSK"/>
      <family val="2"/>
    </font>
    <font>
      <sz val="11"/>
      <name val="TH SarabunPSK"/>
      <family val="2"/>
    </font>
    <font>
      <b/>
      <sz val="12"/>
      <name val="TH SarabunPSK"/>
      <family val="2"/>
    </font>
    <font>
      <sz val="11"/>
      <color indexed="8"/>
      <name val="Calibri"/>
      <family val="2"/>
    </font>
    <font>
      <sz val="16"/>
      <color theme="1"/>
      <name val="TH SarabunPSK"/>
      <family val="2"/>
    </font>
    <font>
      <sz val="15"/>
      <name val="TH SarabunPSK"/>
      <family val="2"/>
    </font>
    <font>
      <b/>
      <sz val="18"/>
      <color theme="1"/>
      <name val="TH SarabunPSK"/>
      <family val="2"/>
    </font>
    <font>
      <sz val="14"/>
      <color rgb="FFFF0000"/>
      <name val="TH SarabunPSK"/>
      <family val="2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624">
    <xf numFmtId="0" fontId="0" fillId="0" borderId="0" xfId="0"/>
    <xf numFmtId="0" fontId="4" fillId="0" borderId="0" xfId="0" applyFont="1" applyFill="1"/>
    <xf numFmtId="0" fontId="4" fillId="0" borderId="0" xfId="0" applyFont="1"/>
    <xf numFmtId="0" fontId="5" fillId="0" borderId="0" xfId="0" applyFont="1"/>
    <xf numFmtId="43" fontId="5" fillId="0" borderId="0" xfId="1" applyFont="1"/>
    <xf numFmtId="43" fontId="5" fillId="0" borderId="0" xfId="0" applyNumberFormat="1" applyFont="1"/>
    <xf numFmtId="0" fontId="3" fillId="0" borderId="0" xfId="0" applyFont="1"/>
    <xf numFmtId="43" fontId="3" fillId="0" borderId="0" xfId="1" applyFont="1"/>
    <xf numFmtId="0" fontId="6" fillId="0" borderId="0" xfId="0" applyFont="1"/>
    <xf numFmtId="43" fontId="6" fillId="0" borderId="0" xfId="1" applyFont="1"/>
    <xf numFmtId="0" fontId="7" fillId="0" borderId="0" xfId="0" applyFont="1" applyFill="1"/>
    <xf numFmtId="43" fontId="7" fillId="0" borderId="0" xfId="1" applyFont="1" applyFill="1"/>
    <xf numFmtId="0" fontId="8" fillId="0" borderId="0" xfId="0" applyFont="1" applyFill="1"/>
    <xf numFmtId="0" fontId="4" fillId="0" borderId="1" xfId="0" applyFont="1" applyBorder="1" applyAlignment="1">
      <alignment horizontal="center"/>
    </xf>
    <xf numFmtId="0" fontId="9" fillId="0" borderId="0" xfId="0" applyFont="1"/>
    <xf numFmtId="43" fontId="6" fillId="0" borderId="0" xfId="1" applyFont="1" applyBorder="1"/>
    <xf numFmtId="43" fontId="6" fillId="0" borderId="2" xfId="0" applyNumberFormat="1" applyFont="1" applyBorder="1"/>
    <xf numFmtId="43" fontId="5" fillId="0" borderId="3" xfId="1" applyFont="1" applyFill="1" applyBorder="1"/>
    <xf numFmtId="43" fontId="6" fillId="0" borderId="3" xfId="1" applyFont="1" applyFill="1" applyBorder="1"/>
    <xf numFmtId="43" fontId="6" fillId="0" borderId="4" xfId="1" applyFont="1" applyFill="1" applyBorder="1"/>
    <xf numFmtId="43" fontId="5" fillId="0" borderId="5" xfId="1" applyFont="1" applyFill="1" applyBorder="1"/>
    <xf numFmtId="0" fontId="6" fillId="0" borderId="0" xfId="0" applyFont="1" applyFill="1"/>
    <xf numFmtId="0" fontId="6" fillId="0" borderId="3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43" fontId="6" fillId="0" borderId="0" xfId="1" applyFont="1" applyFill="1"/>
    <xf numFmtId="188" fontId="5" fillId="0" borderId="0" xfId="1" applyNumberFormat="1" applyFont="1" applyFill="1"/>
    <xf numFmtId="0" fontId="5" fillId="0" borderId="0" xfId="0" applyFont="1" applyFill="1"/>
    <xf numFmtId="43" fontId="5" fillId="0" borderId="0" xfId="1" applyFont="1" applyFill="1"/>
    <xf numFmtId="43" fontId="6" fillId="0" borderId="0" xfId="0" applyNumberFormat="1" applyFont="1"/>
    <xf numFmtId="43" fontId="4" fillId="0" borderId="0" xfId="1" applyFont="1" applyFill="1"/>
    <xf numFmtId="188" fontId="7" fillId="0" borderId="0" xfId="1" applyNumberFormat="1" applyFont="1" applyFill="1"/>
    <xf numFmtId="0" fontId="4" fillId="0" borderId="0" xfId="0" applyFont="1" applyFill="1" applyAlignment="1">
      <alignment horizontal="center"/>
    </xf>
    <xf numFmtId="43" fontId="8" fillId="0" borderId="0" xfId="1" applyFont="1" applyFill="1"/>
    <xf numFmtId="188" fontId="6" fillId="0" borderId="0" xfId="1" applyNumberFormat="1" applyFont="1" applyFill="1"/>
    <xf numFmtId="43" fontId="6" fillId="0" borderId="5" xfId="1" applyFont="1" applyFill="1" applyBorder="1" applyAlignment="1">
      <alignment horizontal="center"/>
    </xf>
    <xf numFmtId="43" fontId="6" fillId="0" borderId="3" xfId="1" applyFont="1" applyFill="1" applyBorder="1" applyAlignment="1">
      <alignment horizontal="center"/>
    </xf>
    <xf numFmtId="43" fontId="6" fillId="0" borderId="0" xfId="1" applyFont="1" applyFill="1" applyAlignment="1">
      <alignment horizontal="center"/>
    </xf>
    <xf numFmtId="43" fontId="6" fillId="0" borderId="5" xfId="1" applyFont="1" applyFill="1" applyBorder="1"/>
    <xf numFmtId="0" fontId="9" fillId="0" borderId="0" xfId="0" applyFont="1" applyFill="1"/>
    <xf numFmtId="0" fontId="6" fillId="0" borderId="0" xfId="0" applyFont="1" applyFill="1" applyAlignment="1">
      <alignment horizontal="center"/>
    </xf>
    <xf numFmtId="43" fontId="5" fillId="0" borderId="0" xfId="0" applyNumberFormat="1" applyFont="1" applyFill="1"/>
    <xf numFmtId="43" fontId="3" fillId="0" borderId="0" xfId="0" applyNumberFormat="1" applyFont="1"/>
    <xf numFmtId="43" fontId="4" fillId="0" borderId="0" xfId="0" applyNumberFormat="1" applyFont="1" applyAlignment="1">
      <alignment horizontal="center"/>
    </xf>
    <xf numFmtId="0" fontId="6" fillId="0" borderId="0" xfId="0" applyFont="1" applyFill="1" applyAlignment="1"/>
    <xf numFmtId="43" fontId="6" fillId="0" borderId="0" xfId="1" applyFont="1" applyFill="1" applyBorder="1"/>
    <xf numFmtId="49" fontId="5" fillId="0" borderId="6" xfId="0" applyNumberFormat="1" applyFont="1" applyFill="1" applyBorder="1" applyAlignment="1"/>
    <xf numFmtId="0" fontId="5" fillId="0" borderId="0" xfId="0" applyFont="1" applyFill="1" applyAlignment="1"/>
    <xf numFmtId="43" fontId="3" fillId="0" borderId="0" xfId="1" applyFont="1" applyFill="1"/>
    <xf numFmtId="0" fontId="6" fillId="0" borderId="3" xfId="0" applyFont="1" applyFill="1" applyBorder="1" applyAlignment="1"/>
    <xf numFmtId="43" fontId="7" fillId="0" borderId="0" xfId="1" applyFont="1" applyFill="1" applyAlignment="1">
      <alignment horizontal="center"/>
    </xf>
    <xf numFmtId="0" fontId="7" fillId="0" borderId="0" xfId="0" applyFont="1" applyFill="1" applyAlignment="1">
      <alignment horizontal="center"/>
    </xf>
    <xf numFmtId="0" fontId="6" fillId="0" borderId="4" xfId="0" applyFont="1" applyFill="1" applyBorder="1" applyAlignment="1"/>
    <xf numFmtId="188" fontId="7" fillId="0" borderId="0" xfId="0" applyNumberFormat="1" applyFont="1" applyFill="1"/>
    <xf numFmtId="0" fontId="8" fillId="0" borderId="0" xfId="0" applyFont="1"/>
    <xf numFmtId="43" fontId="6" fillId="2" borderId="0" xfId="1" applyFont="1" applyFill="1" applyBorder="1"/>
    <xf numFmtId="43" fontId="5" fillId="2" borderId="0" xfId="1" applyFont="1" applyFill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8" xfId="0" applyFont="1" applyFill="1" applyBorder="1"/>
    <xf numFmtId="188" fontId="5" fillId="2" borderId="7" xfId="1" applyNumberFormat="1" applyFont="1" applyFill="1" applyBorder="1" applyAlignment="1">
      <alignment horizontal="center"/>
    </xf>
    <xf numFmtId="43" fontId="6" fillId="0" borderId="9" xfId="1" applyFont="1" applyFill="1" applyBorder="1" applyAlignment="1">
      <alignment horizontal="center"/>
    </xf>
    <xf numFmtId="43" fontId="6" fillId="0" borderId="9" xfId="1" applyFont="1" applyFill="1" applyBorder="1"/>
    <xf numFmtId="43" fontId="5" fillId="0" borderId="10" xfId="1" applyFont="1" applyBorder="1" applyAlignment="1">
      <alignment horizontal="center"/>
    </xf>
    <xf numFmtId="43" fontId="5" fillId="0" borderId="4" xfId="1" applyFont="1" applyFill="1" applyBorder="1"/>
    <xf numFmtId="43" fontId="5" fillId="0" borderId="4" xfId="1" applyFont="1" applyBorder="1"/>
    <xf numFmtId="43" fontId="5" fillId="0" borderId="11" xfId="1" applyFont="1" applyBorder="1" applyAlignment="1">
      <alignment horizontal="center"/>
    </xf>
    <xf numFmtId="43" fontId="5" fillId="0" borderId="3" xfId="1" applyFont="1" applyBorder="1" applyAlignment="1">
      <alignment horizontal="center"/>
    </xf>
    <xf numFmtId="43" fontId="5" fillId="0" borderId="12" xfId="1" applyFont="1" applyBorder="1" applyAlignment="1">
      <alignment horizontal="center"/>
    </xf>
    <xf numFmtId="43" fontId="5" fillId="0" borderId="1" xfId="1" applyFont="1" applyFill="1" applyBorder="1"/>
    <xf numFmtId="43" fontId="5" fillId="0" borderId="13" xfId="1" applyFont="1" applyBorder="1" applyAlignment="1">
      <alignment horizontal="center"/>
    </xf>
    <xf numFmtId="0" fontId="5" fillId="0" borderId="4" xfId="0" applyFont="1" applyFill="1" applyBorder="1"/>
    <xf numFmtId="43" fontId="5" fillId="0" borderId="5" xfId="1" applyFont="1" applyBorder="1"/>
    <xf numFmtId="43" fontId="9" fillId="0" borderId="0" xfId="1" applyFont="1"/>
    <xf numFmtId="188" fontId="6" fillId="0" borderId="0" xfId="1" applyNumberFormat="1" applyFont="1"/>
    <xf numFmtId="43" fontId="6" fillId="0" borderId="9" xfId="1" applyFont="1" applyBorder="1"/>
    <xf numFmtId="43" fontId="6" fillId="0" borderId="9" xfId="1" applyFont="1" applyBorder="1" applyAlignment="1">
      <alignment horizontal="center"/>
    </xf>
    <xf numFmtId="43" fontId="6" fillId="0" borderId="5" xfId="1" applyFont="1" applyBorder="1" applyAlignment="1">
      <alignment horizontal="center"/>
    </xf>
    <xf numFmtId="43" fontId="6" fillId="0" borderId="3" xfId="1" applyFont="1" applyBorder="1" applyAlignment="1">
      <alignment horizontal="center"/>
    </xf>
    <xf numFmtId="188" fontId="6" fillId="0" borderId="3" xfId="1" applyNumberFormat="1" applyFont="1" applyBorder="1" applyAlignment="1">
      <alignment horizontal="center"/>
    </xf>
    <xf numFmtId="43" fontId="6" fillId="0" borderId="0" xfId="1" applyFont="1" applyAlignment="1">
      <alignment horizontal="center"/>
    </xf>
    <xf numFmtId="43" fontId="6" fillId="0" borderId="4" xfId="1" applyFont="1" applyBorder="1"/>
    <xf numFmtId="188" fontId="6" fillId="0" borderId="4" xfId="1" applyNumberFormat="1" applyFont="1" applyBorder="1"/>
    <xf numFmtId="188" fontId="5" fillId="0" borderId="4" xfId="1" applyNumberFormat="1" applyFont="1" applyBorder="1"/>
    <xf numFmtId="188" fontId="5" fillId="0" borderId="0" xfId="1" applyNumberFormat="1" applyFont="1"/>
    <xf numFmtId="0" fontId="6" fillId="0" borderId="3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6" fillId="0" borderId="5" xfId="0" applyFont="1" applyBorder="1" applyAlignment="1">
      <alignment horizontal="center"/>
    </xf>
    <xf numFmtId="188" fontId="6" fillId="0" borderId="5" xfId="1" applyNumberFormat="1" applyFont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43" fontId="6" fillId="0" borderId="5" xfId="0" applyNumberFormat="1" applyFont="1" applyBorder="1" applyAlignment="1">
      <alignment horizontal="center"/>
    </xf>
    <xf numFmtId="0" fontId="5" fillId="0" borderId="4" xfId="0" applyFont="1" applyBorder="1"/>
    <xf numFmtId="0" fontId="5" fillId="0" borderId="4" xfId="0" applyFont="1" applyFill="1" applyBorder="1" applyAlignment="1">
      <alignment horizontal="center"/>
    </xf>
    <xf numFmtId="188" fontId="5" fillId="0" borderId="0" xfId="0" applyNumberFormat="1" applyFont="1"/>
    <xf numFmtId="187" fontId="6" fillId="0" borderId="0" xfId="1" applyNumberFormat="1" applyFont="1" applyAlignment="1">
      <alignment horizontal="center"/>
    </xf>
    <xf numFmtId="49" fontId="6" fillId="0" borderId="3" xfId="0" applyNumberFormat="1" applyFont="1" applyBorder="1" applyAlignment="1">
      <alignment horizontal="center"/>
    </xf>
    <xf numFmtId="49" fontId="6" fillId="0" borderId="3" xfId="0" applyNumberFormat="1" applyFont="1" applyFill="1" applyBorder="1" applyAlignment="1">
      <alignment horizontal="center"/>
    </xf>
    <xf numFmtId="43" fontId="5" fillId="0" borderId="4" xfId="1" applyFont="1" applyFill="1" applyBorder="1" applyAlignment="1">
      <alignment horizontal="center"/>
    </xf>
    <xf numFmtId="49" fontId="6" fillId="0" borderId="0" xfId="0" applyNumberFormat="1" applyFont="1"/>
    <xf numFmtId="43" fontId="5" fillId="2" borderId="7" xfId="1" applyFont="1" applyFill="1" applyBorder="1"/>
    <xf numFmtId="0" fontId="5" fillId="2" borderId="7" xfId="0" applyFont="1" applyFill="1" applyBorder="1" applyAlignment="1">
      <alignment horizontal="center"/>
    </xf>
    <xf numFmtId="0" fontId="6" fillId="2" borderId="0" xfId="0" applyFont="1" applyFill="1"/>
    <xf numFmtId="43" fontId="6" fillId="2" borderId="0" xfId="1" applyFont="1" applyFill="1"/>
    <xf numFmtId="0" fontId="5" fillId="2" borderId="5" xfId="0" applyFont="1" applyFill="1" applyBorder="1"/>
    <xf numFmtId="43" fontId="5" fillId="2" borderId="6" xfId="1" applyFont="1" applyFill="1" applyBorder="1"/>
    <xf numFmtId="188" fontId="5" fillId="2" borderId="6" xfId="1" applyNumberFormat="1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shrinkToFit="1"/>
    </xf>
    <xf numFmtId="0" fontId="8" fillId="2" borderId="0" xfId="0" applyFont="1" applyFill="1"/>
    <xf numFmtId="43" fontId="8" fillId="2" borderId="0" xfId="1" applyFont="1" applyFill="1"/>
    <xf numFmtId="0" fontId="4" fillId="2" borderId="14" xfId="0" applyFont="1" applyFill="1" applyBorder="1" applyAlignment="1">
      <alignment horizontal="center"/>
    </xf>
    <xf numFmtId="43" fontId="4" fillId="2" borderId="14" xfId="1" applyFont="1" applyFill="1" applyBorder="1"/>
    <xf numFmtId="188" fontId="4" fillId="2" borderId="14" xfId="1" applyNumberFormat="1" applyFont="1" applyFill="1" applyBorder="1"/>
    <xf numFmtId="0" fontId="4" fillId="2" borderId="14" xfId="0" applyFont="1" applyFill="1" applyBorder="1"/>
    <xf numFmtId="0" fontId="4" fillId="2" borderId="0" xfId="0" applyFont="1" applyFill="1"/>
    <xf numFmtId="43" fontId="4" fillId="2" borderId="0" xfId="1" applyFont="1" applyFill="1"/>
    <xf numFmtId="0" fontId="7" fillId="2" borderId="9" xfId="0" applyFont="1" applyFill="1" applyBorder="1"/>
    <xf numFmtId="0" fontId="4" fillId="2" borderId="3" xfId="0" applyFont="1" applyFill="1" applyBorder="1" applyAlignment="1">
      <alignment horizontal="center"/>
    </xf>
    <xf numFmtId="0" fontId="4" fillId="2" borderId="4" xfId="0" applyFont="1" applyFill="1" applyBorder="1"/>
    <xf numFmtId="49" fontId="5" fillId="2" borderId="7" xfId="0" applyNumberFormat="1" applyFont="1" applyFill="1" applyBorder="1" applyAlignment="1">
      <alignment horizontal="left" shrinkToFit="1"/>
    </xf>
    <xf numFmtId="49" fontId="5" fillId="2" borderId="7" xfId="0" applyNumberFormat="1" applyFont="1" applyFill="1" applyBorder="1" applyAlignment="1">
      <alignment horizontal="left"/>
    </xf>
    <xf numFmtId="0" fontId="4" fillId="2" borderId="6" xfId="0" applyFont="1" applyFill="1" applyBorder="1"/>
    <xf numFmtId="43" fontId="7" fillId="2" borderId="0" xfId="1" applyFont="1" applyFill="1"/>
    <xf numFmtId="0" fontId="7" fillId="2" borderId="0" xfId="0" applyFont="1" applyFill="1"/>
    <xf numFmtId="43" fontId="7" fillId="2" borderId="9" xfId="1" applyFont="1" applyFill="1" applyBorder="1" applyAlignment="1">
      <alignment horizontal="center"/>
    </xf>
    <xf numFmtId="43" fontId="4" fillId="2" borderId="3" xfId="1" applyFont="1" applyFill="1" applyBorder="1" applyAlignment="1">
      <alignment horizontal="center"/>
    </xf>
    <xf numFmtId="188" fontId="4" fillId="2" borderId="3" xfId="1" applyNumberFormat="1" applyFont="1" applyFill="1" applyBorder="1" applyAlignment="1">
      <alignment horizontal="center"/>
    </xf>
    <xf numFmtId="43" fontId="4" fillId="2" borderId="0" xfId="1" applyFont="1" applyFill="1" applyAlignment="1">
      <alignment horizontal="center"/>
    </xf>
    <xf numFmtId="43" fontId="4" fillId="2" borderId="4" xfId="1" applyFont="1" applyFill="1" applyBorder="1" applyAlignment="1">
      <alignment horizontal="center"/>
    </xf>
    <xf numFmtId="43" fontId="4" fillId="2" borderId="4" xfId="1" applyFont="1" applyFill="1" applyBorder="1"/>
    <xf numFmtId="188" fontId="4" fillId="2" borderId="4" xfId="1" applyNumberFormat="1" applyFont="1" applyFill="1" applyBorder="1"/>
    <xf numFmtId="188" fontId="4" fillId="2" borderId="4" xfId="0" applyNumberFormat="1" applyFont="1" applyFill="1" applyBorder="1"/>
    <xf numFmtId="43" fontId="4" fillId="2" borderId="0" xfId="0" applyNumberFormat="1" applyFont="1" applyFill="1"/>
    <xf numFmtId="0" fontId="5" fillId="2" borderId="0" xfId="0" applyFont="1" applyFill="1"/>
    <xf numFmtId="43" fontId="5" fillId="2" borderId="0" xfId="0" applyNumberFormat="1" applyFont="1" applyFill="1"/>
    <xf numFmtId="43" fontId="4" fillId="2" borderId="7" xfId="1" applyFont="1" applyFill="1" applyBorder="1"/>
    <xf numFmtId="188" fontId="3" fillId="2" borderId="7" xfId="1" applyNumberFormat="1" applyFont="1" applyFill="1" applyBorder="1" applyAlignment="1">
      <alignment horizontal="center"/>
    </xf>
    <xf numFmtId="0" fontId="3" fillId="2" borderId="7" xfId="0" applyFont="1" applyFill="1" applyBorder="1" applyAlignment="1">
      <alignment horizontal="center"/>
    </xf>
    <xf numFmtId="43" fontId="6" fillId="2" borderId="0" xfId="0" applyNumberFormat="1" applyFont="1" applyFill="1"/>
    <xf numFmtId="188" fontId="8" fillId="2" borderId="0" xfId="1" applyNumberFormat="1" applyFont="1" applyFill="1"/>
    <xf numFmtId="188" fontId="5" fillId="2" borderId="3" xfId="1" applyNumberFormat="1" applyFont="1" applyFill="1" applyBorder="1" applyAlignment="1">
      <alignment horizontal="center"/>
    </xf>
    <xf numFmtId="188" fontId="6" fillId="2" borderId="0" xfId="1" applyNumberFormat="1" applyFont="1" applyFill="1"/>
    <xf numFmtId="188" fontId="6" fillId="2" borderId="3" xfId="1" applyNumberFormat="1" applyFont="1" applyFill="1" applyBorder="1" applyAlignment="1">
      <alignment horizontal="center"/>
    </xf>
    <xf numFmtId="188" fontId="6" fillId="2" borderId="4" xfId="1" applyNumberFormat="1" applyFont="1" applyFill="1" applyBorder="1"/>
    <xf numFmtId="188" fontId="5" fillId="2" borderId="5" xfId="1" applyNumberFormat="1" applyFont="1" applyFill="1" applyBorder="1" applyAlignment="1">
      <alignment horizontal="center"/>
    </xf>
    <xf numFmtId="188" fontId="5" fillId="2" borderId="4" xfId="1" applyNumberFormat="1" applyFont="1" applyFill="1" applyBorder="1" applyAlignment="1">
      <alignment horizontal="center"/>
    </xf>
    <xf numFmtId="188" fontId="5" fillId="2" borderId="5" xfId="1" applyNumberFormat="1" applyFont="1" applyFill="1" applyBorder="1"/>
    <xf numFmtId="188" fontId="6" fillId="2" borderId="14" xfId="1" applyNumberFormat="1" applyFont="1" applyFill="1" applyBorder="1"/>
    <xf numFmtId="188" fontId="5" fillId="2" borderId="0" xfId="1" applyNumberFormat="1" applyFont="1" applyFill="1"/>
    <xf numFmtId="0" fontId="9" fillId="2" borderId="0" xfId="0" applyFont="1" applyFill="1"/>
    <xf numFmtId="43" fontId="11" fillId="2" borderId="0" xfId="1" applyFont="1" applyFill="1"/>
    <xf numFmtId="0" fontId="11" fillId="2" borderId="0" xfId="0" applyFont="1" applyFill="1"/>
    <xf numFmtId="0" fontId="4" fillId="2" borderId="5" xfId="0" applyFont="1" applyFill="1" applyBorder="1" applyAlignment="1">
      <alignment horizontal="center"/>
    </xf>
    <xf numFmtId="188" fontId="6" fillId="2" borderId="5" xfId="1" applyNumberFormat="1" applyFont="1" applyFill="1" applyBorder="1" applyAlignment="1">
      <alignment horizontal="center"/>
    </xf>
    <xf numFmtId="43" fontId="4" fillId="2" borderId="5" xfId="0" applyNumberFormat="1" applyFont="1" applyFill="1" applyBorder="1" applyAlignment="1">
      <alignment horizontal="center"/>
    </xf>
    <xf numFmtId="0" fontId="6" fillId="2" borderId="3" xfId="0" applyFont="1" applyFill="1" applyBorder="1" applyAlignment="1">
      <alignment horizontal="center"/>
    </xf>
    <xf numFmtId="43" fontId="6" fillId="2" borderId="0" xfId="1" applyFont="1" applyFill="1" applyAlignment="1">
      <alignment horizontal="center"/>
    </xf>
    <xf numFmtId="0" fontId="6" fillId="2" borderId="4" xfId="0" applyFont="1" applyFill="1" applyBorder="1" applyAlignment="1">
      <alignment horizontal="center"/>
    </xf>
    <xf numFmtId="43" fontId="6" fillId="2" borderId="4" xfId="0" applyNumberFormat="1" applyFont="1" applyFill="1" applyBorder="1" applyAlignment="1">
      <alignment horizontal="center"/>
    </xf>
    <xf numFmtId="188" fontId="6" fillId="2" borderId="4" xfId="1" applyNumberFormat="1" applyFont="1" applyFill="1" applyBorder="1" applyAlignment="1">
      <alignment horizontal="center"/>
    </xf>
    <xf numFmtId="0" fontId="6" fillId="2" borderId="15" xfId="0" applyFont="1" applyFill="1" applyBorder="1"/>
    <xf numFmtId="43" fontId="6" fillId="2" borderId="15" xfId="1" applyFont="1" applyFill="1" applyBorder="1"/>
    <xf numFmtId="188" fontId="6" fillId="2" borderId="15" xfId="1" applyNumberFormat="1" applyFont="1" applyFill="1" applyBorder="1"/>
    <xf numFmtId="43" fontId="6" fillId="2" borderId="15" xfId="1" applyFont="1" applyFill="1" applyBorder="1" applyAlignment="1">
      <alignment horizontal="center"/>
    </xf>
    <xf numFmtId="43" fontId="6" fillId="2" borderId="15" xfId="1" applyNumberFormat="1" applyFont="1" applyFill="1" applyBorder="1"/>
    <xf numFmtId="43" fontId="6" fillId="2" borderId="7" xfId="1" applyFont="1" applyFill="1" applyBorder="1"/>
    <xf numFmtId="43" fontId="6" fillId="2" borderId="7" xfId="1" applyNumberFormat="1" applyFont="1" applyFill="1" applyBorder="1"/>
    <xf numFmtId="0" fontId="6" fillId="2" borderId="14" xfId="0" applyFont="1" applyFill="1" applyBorder="1" applyAlignment="1">
      <alignment horizontal="center"/>
    </xf>
    <xf numFmtId="43" fontId="6" fillId="2" borderId="14" xfId="1" applyFont="1" applyFill="1" applyBorder="1"/>
    <xf numFmtId="43" fontId="6" fillId="2" borderId="14" xfId="1" applyNumberFormat="1" applyFont="1" applyFill="1" applyBorder="1"/>
    <xf numFmtId="0" fontId="6" fillId="2" borderId="0" xfId="0" applyFont="1" applyFill="1" applyAlignment="1"/>
    <xf numFmtId="0" fontId="6" fillId="2" borderId="5" xfId="0" applyFont="1" applyFill="1" applyBorder="1" applyAlignment="1"/>
    <xf numFmtId="0" fontId="6" fillId="2" borderId="5" xfId="0" applyFont="1" applyFill="1" applyBorder="1" applyAlignment="1">
      <alignment horizontal="center"/>
    </xf>
    <xf numFmtId="43" fontId="6" fillId="2" borderId="5" xfId="1" applyFont="1" applyFill="1" applyBorder="1" applyAlignment="1">
      <alignment horizontal="center"/>
    </xf>
    <xf numFmtId="43" fontId="6" fillId="2" borderId="3" xfId="1" applyFont="1" applyFill="1" applyBorder="1" applyAlignment="1">
      <alignment horizontal="center"/>
    </xf>
    <xf numFmtId="43" fontId="6" fillId="2" borderId="5" xfId="1" applyFont="1" applyFill="1" applyBorder="1"/>
    <xf numFmtId="0" fontId="6" fillId="2" borderId="5" xfId="0" applyFont="1" applyFill="1" applyBorder="1"/>
    <xf numFmtId="49" fontId="5" fillId="2" borderId="5" xfId="0" applyNumberFormat="1" applyFont="1" applyFill="1" applyBorder="1" applyAlignment="1">
      <alignment horizontal="center"/>
    </xf>
    <xf numFmtId="49" fontId="6" fillId="2" borderId="3" xfId="1" applyNumberFormat="1" applyFont="1" applyFill="1" applyBorder="1" applyAlignment="1">
      <alignment horizontal="center"/>
    </xf>
    <xf numFmtId="49" fontId="6" fillId="2" borderId="0" xfId="0" applyNumberFormat="1" applyFont="1" applyFill="1"/>
    <xf numFmtId="49" fontId="5" fillId="2" borderId="4" xfId="0" applyNumberFormat="1" applyFont="1" applyFill="1" applyBorder="1" applyAlignment="1"/>
    <xf numFmtId="49" fontId="5" fillId="2" borderId="4" xfId="1" applyNumberFormat="1" applyFont="1" applyFill="1" applyBorder="1"/>
    <xf numFmtId="49" fontId="6" fillId="2" borderId="4" xfId="1" applyNumberFormat="1" applyFont="1" applyFill="1" applyBorder="1" applyAlignment="1">
      <alignment horizontal="center"/>
    </xf>
    <xf numFmtId="49" fontId="6" fillId="2" borderId="4" xfId="0" applyNumberFormat="1" applyFont="1" applyFill="1" applyBorder="1"/>
    <xf numFmtId="49" fontId="5" fillId="2" borderId="4" xfId="0" applyNumberFormat="1" applyFont="1" applyFill="1" applyBorder="1"/>
    <xf numFmtId="49" fontId="6" fillId="2" borderId="4" xfId="0" applyNumberFormat="1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center"/>
    </xf>
    <xf numFmtId="49" fontId="5" fillId="2" borderId="0" xfId="0" applyNumberFormat="1" applyFont="1" applyFill="1"/>
    <xf numFmtId="43" fontId="5" fillId="2" borderId="4" xfId="1" applyFont="1" applyFill="1" applyBorder="1"/>
    <xf numFmtId="43" fontId="6" fillId="2" borderId="4" xfId="1" applyFont="1" applyFill="1" applyBorder="1"/>
    <xf numFmtId="0" fontId="6" fillId="2" borderId="4" xfId="0" applyFont="1" applyFill="1" applyBorder="1"/>
    <xf numFmtId="0" fontId="5" fillId="2" borderId="0" xfId="0" applyFont="1" applyFill="1" applyAlignment="1"/>
    <xf numFmtId="0" fontId="15" fillId="2" borderId="0" xfId="0" applyFont="1" applyFill="1"/>
    <xf numFmtId="43" fontId="15" fillId="0" borderId="0" xfId="1" applyFont="1"/>
    <xf numFmtId="0" fontId="15" fillId="0" borderId="0" xfId="0" applyFont="1" applyFill="1"/>
    <xf numFmtId="0" fontId="15" fillId="0" borderId="0" xfId="0" applyFont="1"/>
    <xf numFmtId="0" fontId="15" fillId="2" borderId="3" xfId="0" applyFont="1" applyFill="1" applyBorder="1" applyAlignment="1"/>
    <xf numFmtId="0" fontId="15" fillId="2" borderId="3" xfId="0" applyFont="1" applyFill="1" applyBorder="1" applyAlignment="1">
      <alignment horizontal="center"/>
    </xf>
    <xf numFmtId="0" fontId="15" fillId="2" borderId="5" xfId="0" applyFont="1" applyFill="1" applyBorder="1" applyAlignment="1"/>
    <xf numFmtId="0" fontId="15" fillId="2" borderId="5" xfId="0" applyFont="1" applyFill="1" applyBorder="1" applyAlignment="1">
      <alignment horizontal="center"/>
    </xf>
    <xf numFmtId="189" fontId="6" fillId="2" borderId="7" xfId="1" applyNumberFormat="1" applyFont="1" applyFill="1" applyBorder="1"/>
    <xf numFmtId="43" fontId="5" fillId="2" borderId="0" xfId="1" applyFont="1" applyFill="1" applyBorder="1"/>
    <xf numFmtId="0" fontId="17" fillId="0" borderId="0" xfId="0" applyFont="1" applyBorder="1"/>
    <xf numFmtId="43" fontId="16" fillId="0" borderId="0" xfId="1" applyFont="1"/>
    <xf numFmtId="43" fontId="18" fillId="0" borderId="0" xfId="1" applyFont="1" applyFill="1"/>
    <xf numFmtId="43" fontId="15" fillId="0" borderId="0" xfId="1" applyFont="1" applyFill="1"/>
    <xf numFmtId="0" fontId="18" fillId="0" borderId="0" xfId="0" applyFont="1" applyFill="1"/>
    <xf numFmtId="0" fontId="18" fillId="0" borderId="0" xfId="0" applyFont="1"/>
    <xf numFmtId="49" fontId="5" fillId="2" borderId="16" xfId="0" applyNumberFormat="1" applyFont="1" applyFill="1" applyBorder="1"/>
    <xf numFmtId="0" fontId="3" fillId="2" borderId="0" xfId="0" applyFont="1" applyFill="1" applyBorder="1"/>
    <xf numFmtId="43" fontId="5" fillId="2" borderId="16" xfId="1" applyFont="1" applyFill="1" applyBorder="1"/>
    <xf numFmtId="49" fontId="25" fillId="2" borderId="16" xfId="0" applyNumberFormat="1" applyFont="1" applyFill="1" applyBorder="1"/>
    <xf numFmtId="0" fontId="5" fillId="2" borderId="16" xfId="0" applyFont="1" applyFill="1" applyBorder="1"/>
    <xf numFmtId="0" fontId="12" fillId="2" borderId="0" xfId="0" applyFont="1" applyFill="1"/>
    <xf numFmtId="0" fontId="4" fillId="2" borderId="0" xfId="0" applyFont="1" applyFill="1" applyBorder="1"/>
    <xf numFmtId="0" fontId="3" fillId="2" borderId="0" xfId="0" applyFont="1" applyFill="1" applyBorder="1" applyAlignment="1">
      <alignment horizontal="center"/>
    </xf>
    <xf numFmtId="0" fontId="5" fillId="2" borderId="0" xfId="0" applyFont="1" applyFill="1" applyBorder="1" applyAlignment="1">
      <alignment horizontal="center"/>
    </xf>
    <xf numFmtId="0" fontId="6" fillId="2" borderId="0" xfId="0" applyFont="1" applyFill="1" applyBorder="1"/>
    <xf numFmtId="0" fontId="4" fillId="2" borderId="16" xfId="0" applyFont="1" applyFill="1" applyBorder="1"/>
    <xf numFmtId="0" fontId="3" fillId="2" borderId="16" xfId="0" applyFont="1" applyFill="1" applyBorder="1"/>
    <xf numFmtId="0" fontId="3" fillId="2" borderId="0" xfId="0" applyFont="1" applyFill="1"/>
    <xf numFmtId="49" fontId="5" fillId="2" borderId="0" xfId="0" applyNumberFormat="1" applyFont="1" applyFill="1" applyBorder="1"/>
    <xf numFmtId="49" fontId="4" fillId="2" borderId="0" xfId="0" applyNumberFormat="1" applyFont="1" applyFill="1"/>
    <xf numFmtId="49" fontId="5" fillId="2" borderId="16" xfId="0" applyNumberFormat="1" applyFont="1" applyFill="1" applyBorder="1" applyAlignment="1">
      <alignment horizontal="left"/>
    </xf>
    <xf numFmtId="49" fontId="14" fillId="2" borderId="16" xfId="0" applyNumberFormat="1" applyFont="1" applyFill="1" applyBorder="1"/>
    <xf numFmtId="49" fontId="3" fillId="2" borderId="0" xfId="0" applyNumberFormat="1" applyFont="1" applyFill="1"/>
    <xf numFmtId="0" fontId="12" fillId="2" borderId="0" xfId="0" applyFont="1" applyFill="1" applyBorder="1"/>
    <xf numFmtId="49" fontId="5" fillId="2" borderId="16" xfId="1" applyNumberFormat="1" applyFont="1" applyFill="1" applyBorder="1" applyAlignment="1">
      <alignment horizontal="left"/>
    </xf>
    <xf numFmtId="49" fontId="6" fillId="2" borderId="16" xfId="0" applyNumberFormat="1" applyFont="1" applyFill="1" applyBorder="1" applyAlignment="1"/>
    <xf numFmtId="0" fontId="6" fillId="2" borderId="16" xfId="0" applyFont="1" applyFill="1" applyBorder="1" applyAlignment="1"/>
    <xf numFmtId="0" fontId="12" fillId="0" borderId="0" xfId="0" applyFont="1"/>
    <xf numFmtId="43" fontId="6" fillId="0" borderId="0" xfId="0" applyNumberFormat="1" applyFont="1" applyAlignment="1">
      <alignment horizontal="justify"/>
    </xf>
    <xf numFmtId="0" fontId="6" fillId="0" borderId="0" xfId="0" applyFont="1" applyAlignment="1">
      <alignment horizontal="justify"/>
    </xf>
    <xf numFmtId="43" fontId="5" fillId="0" borderId="0" xfId="0" applyNumberFormat="1" applyFont="1" applyBorder="1" applyAlignment="1">
      <alignment horizontal="justify"/>
    </xf>
    <xf numFmtId="43" fontId="5" fillId="0" borderId="0" xfId="0" applyNumberFormat="1" applyFont="1" applyAlignment="1">
      <alignment horizontal="justify"/>
    </xf>
    <xf numFmtId="0" fontId="5" fillId="0" borderId="0" xfId="0" applyFont="1" applyAlignment="1">
      <alignment horizontal="justify"/>
    </xf>
    <xf numFmtId="43" fontId="5" fillId="0" borderId="0" xfId="0" applyNumberFormat="1" applyFont="1" applyBorder="1" applyAlignment="1">
      <alignment horizontal="justify" vertical="top"/>
    </xf>
    <xf numFmtId="0" fontId="5" fillId="0" borderId="0" xfId="0" applyFont="1" applyAlignment="1">
      <alignment horizontal="justify" vertical="top"/>
    </xf>
    <xf numFmtId="43" fontId="6" fillId="0" borderId="0" xfId="0" applyNumberFormat="1" applyFont="1" applyAlignment="1">
      <alignment horizontal="justify" vertical="top"/>
    </xf>
    <xf numFmtId="0" fontId="6" fillId="0" borderId="0" xfId="0" applyFont="1" applyAlignment="1">
      <alignment horizontal="justify" vertical="top"/>
    </xf>
    <xf numFmtId="43" fontId="5" fillId="0" borderId="0" xfId="0" applyNumberFormat="1" applyFont="1" applyAlignment="1">
      <alignment horizontal="justify" vertical="top"/>
    </xf>
    <xf numFmtId="0" fontId="9" fillId="0" borderId="0" xfId="0" applyFont="1" applyAlignment="1">
      <alignment horizontal="justify" vertical="center"/>
    </xf>
    <xf numFmtId="43" fontId="6" fillId="0" borderId="0" xfId="1" applyFont="1" applyBorder="1" applyAlignment="1">
      <alignment horizontal="justify" vertical="center"/>
    </xf>
    <xf numFmtId="43" fontId="6" fillId="0" borderId="0" xfId="0" applyNumberFormat="1" applyFont="1" applyBorder="1" applyAlignment="1">
      <alignment horizontal="justify" vertical="center"/>
    </xf>
    <xf numFmtId="43" fontId="6" fillId="0" borderId="0" xfId="0" applyNumberFormat="1" applyFont="1" applyAlignment="1">
      <alignment horizontal="justify" vertical="center"/>
    </xf>
    <xf numFmtId="43" fontId="5" fillId="0" borderId="0" xfId="0" applyNumberFormat="1" applyFont="1" applyBorder="1" applyAlignment="1">
      <alignment horizontal="justify" vertical="center"/>
    </xf>
    <xf numFmtId="0" fontId="6" fillId="0" borderId="5" xfId="0" applyFont="1" applyFill="1" applyBorder="1" applyAlignment="1"/>
    <xf numFmtId="188" fontId="4" fillId="2" borderId="0" xfId="1" applyNumberFormat="1" applyFont="1" applyFill="1"/>
    <xf numFmtId="49" fontId="5" fillId="2" borderId="7" xfId="1" applyNumberFormat="1" applyFont="1" applyFill="1" applyBorder="1"/>
    <xf numFmtId="0" fontId="4" fillId="2" borderId="1" xfId="0" applyFont="1" applyFill="1" applyBorder="1"/>
    <xf numFmtId="43" fontId="4" fillId="2" borderId="1" xfId="1" applyFont="1" applyFill="1" applyBorder="1"/>
    <xf numFmtId="188" fontId="4" fillId="2" borderId="1" xfId="1" applyNumberFormat="1" applyFont="1" applyFill="1" applyBorder="1"/>
    <xf numFmtId="188" fontId="4" fillId="2" borderId="1" xfId="0" applyNumberFormat="1" applyFont="1" applyFill="1" applyBorder="1" applyAlignment="1">
      <alignment horizontal="center"/>
    </xf>
    <xf numFmtId="43" fontId="5" fillId="3" borderId="0" xfId="1" applyFont="1" applyFill="1"/>
    <xf numFmtId="49" fontId="5" fillId="2" borderId="3" xfId="1" applyNumberFormat="1" applyFont="1" applyFill="1" applyBorder="1" applyAlignment="1">
      <alignment horizontal="left"/>
    </xf>
    <xf numFmtId="49" fontId="5" fillId="2" borderId="3" xfId="1" applyNumberFormat="1" applyFont="1" applyFill="1" applyBorder="1"/>
    <xf numFmtId="43" fontId="12" fillId="0" borderId="0" xfId="1" applyFont="1" applyFill="1"/>
    <xf numFmtId="188" fontId="4" fillId="0" borderId="0" xfId="1" applyNumberFormat="1" applyFont="1" applyFill="1"/>
    <xf numFmtId="43" fontId="4" fillId="0" borderId="0" xfId="1" applyFont="1"/>
    <xf numFmtId="43" fontId="12" fillId="0" borderId="0" xfId="1" applyFont="1"/>
    <xf numFmtId="188" fontId="4" fillId="0" borderId="0" xfId="1" applyNumberFormat="1" applyFont="1"/>
    <xf numFmtId="43" fontId="3" fillId="2" borderId="0" xfId="1" applyFont="1" applyFill="1"/>
    <xf numFmtId="188" fontId="3" fillId="2" borderId="0" xfId="1" applyNumberFormat="1" applyFont="1" applyFill="1"/>
    <xf numFmtId="43" fontId="8" fillId="0" borderId="0" xfId="1" applyFont="1"/>
    <xf numFmtId="0" fontId="12" fillId="0" borderId="0" xfId="0" applyFont="1" applyFill="1"/>
    <xf numFmtId="0" fontId="5" fillId="0" borderId="0" xfId="0" applyFont="1" applyFill="1" applyAlignment="1">
      <alignment horizontal="center"/>
    </xf>
    <xf numFmtId="0" fontId="9" fillId="2" borderId="0" xfId="0" applyFont="1" applyFill="1" applyAlignment="1"/>
    <xf numFmtId="49" fontId="8" fillId="0" borderId="0" xfId="0" applyNumberFormat="1" applyFont="1" applyFill="1" applyAlignment="1"/>
    <xf numFmtId="43" fontId="21" fillId="0" borderId="0" xfId="1" applyFont="1" applyFill="1"/>
    <xf numFmtId="0" fontId="21" fillId="0" borderId="0" xfId="0" applyFont="1" applyFill="1"/>
    <xf numFmtId="43" fontId="20" fillId="2" borderId="5" xfId="1" applyFont="1" applyFill="1" applyBorder="1"/>
    <xf numFmtId="43" fontId="20" fillId="2" borderId="0" xfId="1" applyFont="1" applyFill="1"/>
    <xf numFmtId="43" fontId="21" fillId="2" borderId="0" xfId="1" applyFont="1" applyFill="1"/>
    <xf numFmtId="0" fontId="21" fillId="0" borderId="0" xfId="0" applyFont="1" applyFill="1" applyAlignment="1"/>
    <xf numFmtId="43" fontId="21" fillId="0" borderId="0" xfId="0" applyNumberFormat="1" applyFont="1"/>
    <xf numFmtId="0" fontId="5" fillId="0" borderId="6" xfId="0" applyFont="1" applyBorder="1"/>
    <xf numFmtId="0" fontId="5" fillId="0" borderId="7" xfId="0" applyFont="1" applyBorder="1"/>
    <xf numFmtId="43" fontId="5" fillId="0" borderId="7" xfId="0" applyNumberFormat="1" applyFont="1" applyBorder="1"/>
    <xf numFmtId="43" fontId="5" fillId="2" borderId="7" xfId="0" applyNumberFormat="1" applyFont="1" applyFill="1" applyBorder="1"/>
    <xf numFmtId="0" fontId="6" fillId="0" borderId="14" xfId="0" applyFont="1" applyBorder="1"/>
    <xf numFmtId="43" fontId="6" fillId="0" borderId="14" xfId="0" applyNumberFormat="1" applyFont="1" applyBorder="1"/>
    <xf numFmtId="43" fontId="5" fillId="0" borderId="0" xfId="0" applyNumberFormat="1" applyFont="1" applyBorder="1" applyAlignment="1">
      <alignment horizontal="center" vertical="center"/>
    </xf>
    <xf numFmtId="43" fontId="5" fillId="0" borderId="0" xfId="0" applyNumberFormat="1" applyFont="1" applyAlignment="1">
      <alignment horizontal="justify" vertical="center"/>
    </xf>
    <xf numFmtId="0" fontId="5" fillId="0" borderId="0" xfId="0" applyFont="1" applyAlignment="1">
      <alignment horizontal="justify" vertical="center"/>
    </xf>
    <xf numFmtId="49" fontId="9" fillId="0" borderId="0" xfId="0" applyNumberFormat="1" applyFont="1" applyAlignment="1">
      <alignment horizontal="left" vertical="top" shrinkToFit="1"/>
    </xf>
    <xf numFmtId="43" fontId="6" fillId="0" borderId="0" xfId="1" applyFont="1" applyAlignment="1">
      <alignment horizontal="center" vertical="center"/>
    </xf>
    <xf numFmtId="43" fontId="6" fillId="0" borderId="0" xfId="0" applyNumberFormat="1" applyFont="1" applyBorder="1" applyAlignment="1">
      <alignment horizontal="center" vertical="center"/>
    </xf>
    <xf numFmtId="0" fontId="6" fillId="0" borderId="1" xfId="0" applyFont="1" applyFill="1" applyBorder="1" applyAlignment="1">
      <alignment horizontal="left"/>
    </xf>
    <xf numFmtId="43" fontId="6" fillId="0" borderId="1" xfId="1" applyFont="1" applyFill="1" applyBorder="1"/>
    <xf numFmtId="49" fontId="5" fillId="0" borderId="3" xfId="0" applyNumberFormat="1" applyFont="1" applyFill="1" applyBorder="1" applyAlignment="1"/>
    <xf numFmtId="43" fontId="5" fillId="2" borderId="3" xfId="1" applyFont="1" applyFill="1" applyBorder="1"/>
    <xf numFmtId="49" fontId="5" fillId="0" borderId="5" xfId="0" applyNumberFormat="1" applyFont="1" applyFill="1" applyBorder="1" applyAlignment="1"/>
    <xf numFmtId="49" fontId="5" fillId="0" borderId="8" xfId="0" applyNumberFormat="1" applyFont="1" applyFill="1" applyBorder="1" applyAlignment="1"/>
    <xf numFmtId="43" fontId="6" fillId="0" borderId="7" xfId="1" applyFont="1" applyFill="1" applyBorder="1"/>
    <xf numFmtId="43" fontId="5" fillId="2" borderId="8" xfId="1" applyFont="1" applyFill="1" applyBorder="1"/>
    <xf numFmtId="0" fontId="5" fillId="0" borderId="17" xfId="0" applyFont="1" applyFill="1" applyBorder="1" applyAlignment="1"/>
    <xf numFmtId="0" fontId="6" fillId="0" borderId="14" xfId="0" applyFont="1" applyFill="1" applyBorder="1" applyAlignment="1">
      <alignment horizontal="center"/>
    </xf>
    <xf numFmtId="43" fontId="5" fillId="0" borderId="18" xfId="1" applyFont="1" applyFill="1" applyBorder="1"/>
    <xf numFmtId="43" fontId="5" fillId="0" borderId="1" xfId="1" applyFont="1" applyBorder="1"/>
    <xf numFmtId="43" fontId="5" fillId="0" borderId="3" xfId="1" applyFont="1" applyBorder="1"/>
    <xf numFmtId="43" fontId="6" fillId="0" borderId="14" xfId="1" applyFont="1" applyFill="1" applyBorder="1" applyAlignment="1">
      <alignment horizontal="center"/>
    </xf>
    <xf numFmtId="43" fontId="6" fillId="0" borderId="14" xfId="1" applyFont="1" applyFill="1" applyBorder="1"/>
    <xf numFmtId="43" fontId="6" fillId="0" borderId="19" xfId="1" applyFont="1" applyFill="1" applyBorder="1" applyAlignment="1">
      <alignment horizontal="center"/>
    </xf>
    <xf numFmtId="188" fontId="5" fillId="0" borderId="5" xfId="1" applyNumberFormat="1" applyFont="1" applyBorder="1"/>
    <xf numFmtId="188" fontId="5" fillId="0" borderId="5" xfId="1" applyNumberFormat="1" applyFont="1" applyBorder="1" applyAlignment="1">
      <alignment horizontal="center"/>
    </xf>
    <xf numFmtId="43" fontId="6" fillId="0" borderId="14" xfId="1" applyFont="1" applyBorder="1" applyAlignment="1">
      <alignment horizontal="center"/>
    </xf>
    <xf numFmtId="43" fontId="6" fillId="0" borderId="14" xfId="1" applyFont="1" applyBorder="1"/>
    <xf numFmtId="188" fontId="6" fillId="0" borderId="14" xfId="1" applyNumberFormat="1" applyFont="1" applyBorder="1"/>
    <xf numFmtId="43" fontId="5" fillId="2" borderId="3" xfId="1" applyFont="1" applyFill="1" applyBorder="1" applyAlignment="1">
      <alignment horizontal="center"/>
    </xf>
    <xf numFmtId="43" fontId="5" fillId="2" borderId="10" xfId="1" applyFont="1" applyFill="1" applyBorder="1" applyAlignment="1">
      <alignment horizontal="center"/>
    </xf>
    <xf numFmtId="0" fontId="5" fillId="0" borderId="10" xfId="0" applyFont="1" applyBorder="1" applyAlignment="1">
      <alignment horizontal="center"/>
    </xf>
    <xf numFmtId="43" fontId="5" fillId="2" borderId="12" xfId="1" applyFont="1" applyFill="1" applyBorder="1" applyAlignment="1">
      <alignment horizontal="center"/>
    </xf>
    <xf numFmtId="49" fontId="5" fillId="2" borderId="5" xfId="1" applyNumberFormat="1" applyFont="1" applyFill="1" applyBorder="1"/>
    <xf numFmtId="43" fontId="5" fillId="2" borderId="3" xfId="0" applyNumberFormat="1" applyFont="1" applyFill="1" applyBorder="1"/>
    <xf numFmtId="43" fontId="5" fillId="2" borderId="5" xfId="1" applyFont="1" applyFill="1" applyBorder="1"/>
    <xf numFmtId="43" fontId="5" fillId="2" borderId="5" xfId="0" applyNumberFormat="1" applyFont="1" applyFill="1" applyBorder="1"/>
    <xf numFmtId="0" fontId="5" fillId="2" borderId="4" xfId="0" applyFont="1" applyFill="1" applyBorder="1" applyAlignment="1">
      <alignment horizontal="center"/>
    </xf>
    <xf numFmtId="188" fontId="5" fillId="0" borderId="3" xfId="1" applyNumberFormat="1" applyFont="1" applyFill="1" applyBorder="1" applyAlignment="1">
      <alignment horizontal="center"/>
    </xf>
    <xf numFmtId="188" fontId="5" fillId="0" borderId="5" xfId="1" applyNumberFormat="1" applyFont="1" applyFill="1" applyBorder="1" applyAlignment="1">
      <alignment horizontal="center"/>
    </xf>
    <xf numFmtId="188" fontId="5" fillId="0" borderId="4" xfId="1" applyNumberFormat="1" applyFont="1" applyFill="1" applyBorder="1" applyAlignment="1">
      <alignment horizontal="center"/>
    </xf>
    <xf numFmtId="43" fontId="5" fillId="2" borderId="1" xfId="0" applyNumberFormat="1" applyFont="1" applyFill="1" applyBorder="1"/>
    <xf numFmtId="188" fontId="5" fillId="0" borderId="1" xfId="1" applyNumberFormat="1" applyFont="1" applyFill="1" applyBorder="1" applyAlignment="1">
      <alignment horizontal="center"/>
    </xf>
    <xf numFmtId="49" fontId="5" fillId="0" borderId="1" xfId="1" applyNumberFormat="1" applyFont="1" applyFill="1" applyBorder="1"/>
    <xf numFmtId="43" fontId="5" fillId="2" borderId="4" xfId="0" applyNumberFormat="1" applyFont="1" applyFill="1" applyBorder="1"/>
    <xf numFmtId="49" fontId="5" fillId="0" borderId="5" xfId="1" applyNumberFormat="1" applyFont="1" applyFill="1" applyBorder="1"/>
    <xf numFmtId="4" fontId="19" fillId="0" borderId="5" xfId="0" applyNumberFormat="1" applyFont="1" applyFill="1" applyBorder="1" applyAlignment="1">
      <alignment horizontal="right"/>
    </xf>
    <xf numFmtId="0" fontId="6" fillId="0" borderId="14" xfId="0" applyFont="1" applyBorder="1" applyAlignment="1">
      <alignment horizontal="center"/>
    </xf>
    <xf numFmtId="43" fontId="6" fillId="0" borderId="14" xfId="1" applyNumberFormat="1" applyFont="1" applyBorder="1"/>
    <xf numFmtId="0" fontId="5" fillId="0" borderId="14" xfId="0" applyFont="1" applyBorder="1" applyAlignment="1">
      <alignment horizontal="center"/>
    </xf>
    <xf numFmtId="43" fontId="6" fillId="0" borderId="14" xfId="1" applyNumberFormat="1" applyFont="1" applyFill="1" applyBorder="1"/>
    <xf numFmtId="43" fontId="5" fillId="0" borderId="1" xfId="1" applyFont="1" applyBorder="1" applyAlignment="1">
      <alignment horizontal="center"/>
    </xf>
    <xf numFmtId="43" fontId="5" fillId="0" borderId="5" xfId="1" applyFont="1" applyBorder="1" applyAlignment="1">
      <alignment horizontal="center"/>
    </xf>
    <xf numFmtId="43" fontId="5" fillId="0" borderId="4" xfId="1" applyFont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43" fontId="6" fillId="2" borderId="1" xfId="1" applyFont="1" applyFill="1" applyBorder="1"/>
    <xf numFmtId="189" fontId="6" fillId="2" borderId="1" xfId="1" applyNumberFormat="1" applyFont="1" applyFill="1" applyBorder="1"/>
    <xf numFmtId="49" fontId="5" fillId="2" borderId="3" xfId="0" applyNumberFormat="1" applyFont="1" applyFill="1" applyBorder="1" applyAlignment="1"/>
    <xf numFmtId="43" fontId="6" fillId="2" borderId="3" xfId="1" applyFont="1" applyFill="1" applyBorder="1"/>
    <xf numFmtId="43" fontId="6" fillId="2" borderId="3" xfId="0" applyNumberFormat="1" applyFont="1" applyFill="1" applyBorder="1"/>
    <xf numFmtId="189" fontId="6" fillId="2" borderId="5" xfId="1" applyNumberFormat="1" applyFont="1" applyFill="1" applyBorder="1"/>
    <xf numFmtId="49" fontId="5" fillId="2" borderId="6" xfId="0" applyNumberFormat="1" applyFont="1" applyFill="1" applyBorder="1" applyAlignment="1"/>
    <xf numFmtId="43" fontId="6" fillId="2" borderId="6" xfId="1" applyFont="1" applyFill="1" applyBorder="1"/>
    <xf numFmtId="0" fontId="6" fillId="2" borderId="6" xfId="0" applyFont="1" applyFill="1" applyBorder="1"/>
    <xf numFmtId="189" fontId="6" fillId="2" borderId="6" xfId="0" applyNumberFormat="1" applyFont="1" applyFill="1" applyBorder="1"/>
    <xf numFmtId="49" fontId="5" fillId="2" borderId="8" xfId="0" applyNumberFormat="1" applyFont="1" applyFill="1" applyBorder="1" applyAlignment="1"/>
    <xf numFmtId="43" fontId="6" fillId="2" borderId="8" xfId="1" applyFont="1" applyFill="1" applyBorder="1"/>
    <xf numFmtId="43" fontId="6" fillId="2" borderId="8" xfId="0" applyNumberFormat="1" applyFont="1" applyFill="1" applyBorder="1"/>
    <xf numFmtId="43" fontId="5" fillId="2" borderId="20" xfId="1" applyFont="1" applyFill="1" applyBorder="1"/>
    <xf numFmtId="190" fontId="6" fillId="2" borderId="6" xfId="0" applyNumberFormat="1" applyFont="1" applyFill="1" applyBorder="1"/>
    <xf numFmtId="49" fontId="5" fillId="2" borderId="7" xfId="0" applyNumberFormat="1" applyFont="1" applyFill="1" applyBorder="1" applyAlignment="1"/>
    <xf numFmtId="43" fontId="6" fillId="2" borderId="7" xfId="0" applyNumberFormat="1" applyFont="1" applyFill="1" applyBorder="1"/>
    <xf numFmtId="49" fontId="5" fillId="2" borderId="5" xfId="0" applyNumberFormat="1" applyFont="1" applyFill="1" applyBorder="1" applyAlignment="1"/>
    <xf numFmtId="43" fontId="6" fillId="2" borderId="5" xfId="0" applyNumberFormat="1" applyFont="1" applyFill="1" applyBorder="1"/>
    <xf numFmtId="0" fontId="6" fillId="2" borderId="4" xfId="0" applyFont="1" applyFill="1" applyBorder="1" applyAlignment="1"/>
    <xf numFmtId="0" fontId="5" fillId="2" borderId="15" xfId="0" applyFont="1" applyFill="1" applyBorder="1" applyAlignment="1"/>
    <xf numFmtId="43" fontId="6" fillId="2" borderId="6" xfId="0" applyNumberFormat="1" applyFont="1" applyFill="1" applyBorder="1"/>
    <xf numFmtId="189" fontId="6" fillId="2" borderId="15" xfId="1" applyNumberFormat="1" applyFont="1" applyFill="1" applyBorder="1"/>
    <xf numFmtId="189" fontId="6" fillId="2" borderId="6" xfId="1" applyNumberFormat="1" applyFont="1" applyFill="1" applyBorder="1"/>
    <xf numFmtId="0" fontId="5" fillId="2" borderId="7" xfId="0" applyFont="1" applyFill="1" applyBorder="1" applyAlignment="1"/>
    <xf numFmtId="0" fontId="5" fillId="2" borderId="6" xfId="0" applyFont="1" applyFill="1" applyBorder="1" applyAlignment="1"/>
    <xf numFmtId="0" fontId="5" fillId="2" borderId="8" xfId="0" applyFont="1" applyFill="1" applyBorder="1" applyAlignment="1"/>
    <xf numFmtId="0" fontId="5" fillId="2" borderId="5" xfId="0" applyFont="1" applyFill="1" applyBorder="1" applyAlignment="1"/>
    <xf numFmtId="43" fontId="25" fillId="2" borderId="0" xfId="1" applyFont="1" applyFill="1"/>
    <xf numFmtId="0" fontId="5" fillId="2" borderId="17" xfId="0" applyFont="1" applyFill="1" applyBorder="1" applyAlignment="1"/>
    <xf numFmtId="43" fontId="5" fillId="2" borderId="17" xfId="1" applyFont="1" applyFill="1" applyBorder="1"/>
    <xf numFmtId="43" fontId="6" fillId="2" borderId="17" xfId="1" applyFont="1" applyFill="1" applyBorder="1"/>
    <xf numFmtId="43" fontId="6" fillId="2" borderId="17" xfId="0" applyNumberFormat="1" applyFont="1" applyFill="1" applyBorder="1"/>
    <xf numFmtId="49" fontId="12" fillId="0" borderId="0" xfId="0" applyNumberFormat="1" applyFont="1" applyFill="1" applyAlignment="1"/>
    <xf numFmtId="49" fontId="6" fillId="0" borderId="0" xfId="0" applyNumberFormat="1" applyFont="1" applyFill="1" applyAlignment="1"/>
    <xf numFmtId="49" fontId="6" fillId="0" borderId="3" xfId="0" applyNumberFormat="1" applyFont="1" applyFill="1" applyBorder="1" applyAlignment="1"/>
    <xf numFmtId="49" fontId="6" fillId="0" borderId="5" xfId="0" applyNumberFormat="1" applyFont="1" applyFill="1" applyBorder="1" applyAlignment="1">
      <alignment horizontal="center"/>
    </xf>
    <xf numFmtId="49" fontId="6" fillId="0" borderId="5" xfId="0" applyNumberFormat="1" applyFont="1" applyFill="1" applyBorder="1" applyAlignment="1"/>
    <xf numFmtId="188" fontId="6" fillId="0" borderId="0" xfId="0" applyNumberFormat="1" applyFont="1" applyFill="1"/>
    <xf numFmtId="49" fontId="6" fillId="0" borderId="5" xfId="1" applyNumberFormat="1" applyFont="1" applyFill="1" applyBorder="1" applyAlignment="1">
      <alignment horizontal="center"/>
    </xf>
    <xf numFmtId="49" fontId="6" fillId="0" borderId="0" xfId="1" applyNumberFormat="1" applyFont="1" applyFill="1" applyBorder="1" applyAlignment="1">
      <alignment horizontal="center"/>
    </xf>
    <xf numFmtId="49" fontId="6" fillId="0" borderId="0" xfId="1" applyNumberFormat="1" applyFont="1" applyFill="1"/>
    <xf numFmtId="49" fontId="6" fillId="0" borderId="0" xfId="0" applyNumberFormat="1" applyFont="1" applyFill="1"/>
    <xf numFmtId="49" fontId="6" fillId="0" borderId="4" xfId="0" applyNumberFormat="1" applyFont="1" applyFill="1" applyBorder="1" applyAlignment="1"/>
    <xf numFmtId="49" fontId="6" fillId="0" borderId="4" xfId="1" applyNumberFormat="1" applyFont="1" applyFill="1" applyBorder="1" applyAlignment="1">
      <alignment horizontal="center"/>
    </xf>
    <xf numFmtId="49" fontId="6" fillId="0" borderId="0" xfId="1" applyNumberFormat="1" applyFont="1" applyFill="1" applyBorder="1"/>
    <xf numFmtId="49" fontId="6" fillId="0" borderId="4" xfId="1" applyNumberFormat="1" applyFont="1" applyFill="1" applyBorder="1"/>
    <xf numFmtId="49" fontId="6" fillId="0" borderId="15" xfId="1" applyNumberFormat="1" applyFont="1" applyFill="1" applyBorder="1" applyAlignment="1">
      <alignment horizontal="left"/>
    </xf>
    <xf numFmtId="49" fontId="6" fillId="0" borderId="7" xfId="1" applyNumberFormat="1" applyFont="1" applyFill="1" applyBorder="1" applyAlignment="1">
      <alignment horizontal="left"/>
    </xf>
    <xf numFmtId="49" fontId="6" fillId="0" borderId="7" xfId="0" applyNumberFormat="1" applyFont="1" applyFill="1" applyBorder="1" applyAlignment="1"/>
    <xf numFmtId="49" fontId="6" fillId="0" borderId="14" xfId="0" applyNumberFormat="1" applyFont="1" applyFill="1" applyBorder="1" applyAlignment="1">
      <alignment horizontal="center"/>
    </xf>
    <xf numFmtId="49" fontId="6" fillId="0" borderId="0" xfId="0" applyNumberFormat="1" applyFont="1" applyFill="1" applyBorder="1" applyAlignment="1">
      <alignment horizontal="center"/>
    </xf>
    <xf numFmtId="189" fontId="6" fillId="0" borderId="0" xfId="1" applyNumberFormat="1" applyFont="1" applyFill="1" applyBorder="1"/>
    <xf numFmtId="43" fontId="6" fillId="2" borderId="21" xfId="1" applyFont="1" applyFill="1" applyBorder="1"/>
    <xf numFmtId="43" fontId="6" fillId="2" borderId="21" xfId="0" applyNumberFormat="1" applyFont="1" applyFill="1" applyBorder="1"/>
    <xf numFmtId="43" fontId="6" fillId="3" borderId="0" xfId="1" applyFont="1" applyFill="1"/>
    <xf numFmtId="188" fontId="5" fillId="2" borderId="6" xfId="1" applyNumberFormat="1" applyFont="1" applyFill="1" applyBorder="1"/>
    <xf numFmtId="43" fontId="5" fillId="2" borderId="6" xfId="1" applyFont="1" applyFill="1" applyBorder="1" applyAlignment="1">
      <alignment horizontal="center"/>
    </xf>
    <xf numFmtId="43" fontId="5" fillId="2" borderId="7" xfId="1" applyFont="1" applyFill="1" applyBorder="1" applyAlignment="1">
      <alignment horizontal="right"/>
    </xf>
    <xf numFmtId="188" fontId="6" fillId="2" borderId="7" xfId="1" applyNumberFormat="1" applyFont="1" applyFill="1" applyBorder="1"/>
    <xf numFmtId="43" fontId="5" fillId="2" borderId="7" xfId="1" applyFont="1" applyFill="1" applyBorder="1" applyAlignment="1">
      <alignment horizontal="center"/>
    </xf>
    <xf numFmtId="43" fontId="3" fillId="2" borderId="6" xfId="1" applyFont="1" applyFill="1" applyBorder="1"/>
    <xf numFmtId="0" fontId="17" fillId="0" borderId="20" xfId="0" applyFont="1" applyBorder="1"/>
    <xf numFmtId="188" fontId="5" fillId="2" borderId="7" xfId="1" applyNumberFormat="1" applyFont="1" applyFill="1" applyBorder="1"/>
    <xf numFmtId="0" fontId="5" fillId="2" borderId="7" xfId="0" applyFont="1" applyFill="1" applyBorder="1" applyAlignment="1">
      <alignment shrinkToFit="1"/>
    </xf>
    <xf numFmtId="0" fontId="5" fillId="0" borderId="16" xfId="0" applyFont="1" applyBorder="1" applyAlignment="1">
      <alignment horizontal="justify" vertical="center"/>
    </xf>
    <xf numFmtId="49" fontId="5" fillId="2" borderId="16" xfId="0" applyNumberFormat="1" applyFont="1" applyFill="1" applyBorder="1" applyAlignment="1">
      <alignment shrinkToFit="1"/>
    </xf>
    <xf numFmtId="49" fontId="5" fillId="2" borderId="16" xfId="0" applyNumberFormat="1" applyFont="1" applyFill="1" applyBorder="1" applyAlignment="1"/>
    <xf numFmtId="43" fontId="5" fillId="0" borderId="0" xfId="1" applyFont="1" applyBorder="1" applyAlignment="1">
      <alignment horizontal="justify" vertical="center"/>
    </xf>
    <xf numFmtId="43" fontId="5" fillId="0" borderId="0" xfId="1" applyFont="1" applyBorder="1" applyAlignment="1">
      <alignment horizontal="center" vertical="center"/>
    </xf>
    <xf numFmtId="43" fontId="6" fillId="2" borderId="0" xfId="1" applyFont="1" applyFill="1" applyBorder="1" applyAlignment="1">
      <alignment horizontal="center"/>
    </xf>
    <xf numFmtId="43" fontId="6" fillId="2" borderId="4" xfId="1" applyFont="1" applyFill="1" applyBorder="1" applyAlignment="1">
      <alignment horizontal="center"/>
    </xf>
    <xf numFmtId="43" fontId="6" fillId="2" borderId="9" xfId="1" applyFont="1" applyFill="1" applyBorder="1"/>
    <xf numFmtId="4" fontId="19" fillId="2" borderId="0" xfId="0" applyNumberFormat="1" applyFont="1" applyFill="1"/>
    <xf numFmtId="43" fontId="21" fillId="2" borderId="0" xfId="0" applyNumberFormat="1" applyFont="1" applyFill="1"/>
    <xf numFmtId="0" fontId="21" fillId="2" borderId="0" xfId="0" applyFont="1" applyFill="1"/>
    <xf numFmtId="49" fontId="5" fillId="2" borderId="6" xfId="1" applyNumberFormat="1" applyFont="1" applyFill="1" applyBorder="1"/>
    <xf numFmtId="49" fontId="5" fillId="2" borderId="1" xfId="0" applyNumberFormat="1" applyFont="1" applyFill="1" applyBorder="1" applyAlignment="1">
      <alignment horizontal="left" shrinkToFit="1"/>
    </xf>
    <xf numFmtId="43" fontId="5" fillId="2" borderId="1" xfId="1" applyFont="1" applyFill="1" applyBorder="1"/>
    <xf numFmtId="0" fontId="5" fillId="2" borderId="1" xfId="0" applyFont="1" applyFill="1" applyBorder="1" applyAlignment="1">
      <alignment horizontal="center"/>
    </xf>
    <xf numFmtId="0" fontId="5" fillId="2" borderId="5" xfId="0" applyFont="1" applyFill="1" applyBorder="1" applyAlignment="1">
      <alignment horizontal="center"/>
    </xf>
    <xf numFmtId="49" fontId="5" fillId="2" borderId="4" xfId="1" applyNumberFormat="1" applyFont="1" applyFill="1" applyBorder="1" applyAlignment="1">
      <alignment shrinkToFit="1"/>
    </xf>
    <xf numFmtId="188" fontId="22" fillId="0" borderId="0" xfId="1" applyNumberFormat="1" applyFont="1"/>
    <xf numFmtId="43" fontId="5" fillId="2" borderId="15" xfId="1" applyFont="1" applyFill="1" applyBorder="1"/>
    <xf numFmtId="49" fontId="5" fillId="2" borderId="7" xfId="1" applyNumberFormat="1" applyFont="1" applyFill="1" applyBorder="1" applyAlignment="1">
      <alignment horizontal="left"/>
    </xf>
    <xf numFmtId="49" fontId="5" fillId="2" borderId="6" xfId="0" applyNumberFormat="1" applyFont="1" applyFill="1" applyBorder="1" applyAlignment="1">
      <alignment shrinkToFit="1"/>
    </xf>
    <xf numFmtId="49" fontId="5" fillId="2" borderId="1" xfId="1" applyNumberFormat="1" applyFont="1" applyFill="1" applyBorder="1" applyAlignment="1">
      <alignment horizontal="left" shrinkToFit="1"/>
    </xf>
    <xf numFmtId="188" fontId="5" fillId="2" borderId="3" xfId="1" applyNumberFormat="1" applyFont="1" applyFill="1" applyBorder="1"/>
    <xf numFmtId="0" fontId="5" fillId="2" borderId="10" xfId="0" applyFont="1" applyFill="1" applyBorder="1" applyAlignment="1">
      <alignment horizontal="center"/>
    </xf>
    <xf numFmtId="43" fontId="5" fillId="2" borderId="1" xfId="0" applyNumberFormat="1" applyFont="1" applyFill="1" applyBorder="1" applyAlignment="1">
      <alignment horizontal="center"/>
    </xf>
    <xf numFmtId="188" fontId="5" fillId="2" borderId="1" xfId="1" applyNumberFormat="1" applyFont="1" applyFill="1" applyBorder="1"/>
    <xf numFmtId="49" fontId="5" fillId="2" borderId="5" xfId="1" applyNumberFormat="1" applyFont="1" applyFill="1" applyBorder="1" applyAlignment="1">
      <alignment shrinkToFit="1"/>
    </xf>
    <xf numFmtId="0" fontId="5" fillId="2" borderId="13" xfId="0" applyFont="1" applyFill="1" applyBorder="1" applyAlignment="1">
      <alignment horizontal="center"/>
    </xf>
    <xf numFmtId="0" fontId="5" fillId="2" borderId="11" xfId="0" applyFont="1" applyFill="1" applyBorder="1" applyAlignment="1">
      <alignment horizontal="center"/>
    </xf>
    <xf numFmtId="49" fontId="5" fillId="2" borderId="1" xfId="1" applyNumberFormat="1" applyFont="1" applyFill="1" applyBorder="1"/>
    <xf numFmtId="49" fontId="5" fillId="2" borderId="3" xfId="1" applyNumberFormat="1" applyFont="1" applyFill="1" applyBorder="1" applyAlignment="1">
      <alignment shrinkToFit="1"/>
    </xf>
    <xf numFmtId="188" fontId="5" fillId="0" borderId="4" xfId="1" applyNumberFormat="1" applyFont="1" applyBorder="1" applyAlignment="1">
      <alignment horizontal="center"/>
    </xf>
    <xf numFmtId="43" fontId="5" fillId="2" borderId="11" xfId="1" applyFont="1" applyFill="1" applyBorder="1" applyAlignment="1">
      <alignment horizontal="center"/>
    </xf>
    <xf numFmtId="188" fontId="5" fillId="2" borderId="1" xfId="0" applyNumberFormat="1" applyFont="1" applyFill="1" applyBorder="1"/>
    <xf numFmtId="43" fontId="8" fillId="0" borderId="0" xfId="0" applyNumberFormat="1" applyFont="1"/>
    <xf numFmtId="43" fontId="6" fillId="0" borderId="14" xfId="0" applyNumberFormat="1" applyFont="1" applyFill="1" applyBorder="1"/>
    <xf numFmtId="43" fontId="5" fillId="0" borderId="0" xfId="1" applyFont="1" applyFill="1" applyBorder="1"/>
    <xf numFmtId="188" fontId="6" fillId="0" borderId="14" xfId="1" applyNumberFormat="1" applyFont="1" applyFill="1" applyBorder="1"/>
    <xf numFmtId="188" fontId="5" fillId="2" borderId="1" xfId="1" applyNumberFormat="1" applyFont="1" applyFill="1" applyBorder="1" applyAlignment="1">
      <alignment horizontal="center"/>
    </xf>
    <xf numFmtId="43" fontId="5" fillId="0" borderId="5" xfId="1" applyFont="1" applyFill="1" applyBorder="1" applyAlignment="1">
      <alignment shrinkToFit="1"/>
    </xf>
    <xf numFmtId="43" fontId="5" fillId="2" borderId="6" xfId="0" applyNumberFormat="1" applyFont="1" applyFill="1" applyBorder="1"/>
    <xf numFmtId="43" fontId="23" fillId="2" borderId="0" xfId="1" applyFont="1" applyFill="1"/>
    <xf numFmtId="43" fontId="3" fillId="2" borderId="0" xfId="0" applyNumberFormat="1" applyFont="1" applyFill="1"/>
    <xf numFmtId="43" fontId="4" fillId="2" borderId="3" xfId="0" applyNumberFormat="1" applyFont="1" applyFill="1" applyBorder="1" applyAlignment="1">
      <alignment horizontal="center"/>
    </xf>
    <xf numFmtId="43" fontId="6" fillId="2" borderId="3" xfId="0" applyNumberFormat="1" applyFont="1" applyFill="1" applyBorder="1" applyAlignment="1">
      <alignment horizontal="center"/>
    </xf>
    <xf numFmtId="43" fontId="5" fillId="2" borderId="0" xfId="1" applyNumberFormat="1" applyFont="1" applyFill="1"/>
    <xf numFmtId="43" fontId="5" fillId="2" borderId="9" xfId="1" applyFont="1" applyFill="1" applyBorder="1"/>
    <xf numFmtId="190" fontId="6" fillId="2" borderId="7" xfId="1" applyNumberFormat="1" applyFont="1" applyFill="1" applyBorder="1"/>
    <xf numFmtId="190" fontId="6" fillId="2" borderId="5" xfId="1" applyNumberFormat="1" applyFont="1" applyFill="1" applyBorder="1"/>
    <xf numFmtId="43" fontId="23" fillId="2" borderId="0" xfId="1" applyNumberFormat="1" applyFont="1" applyFill="1"/>
    <xf numFmtId="43" fontId="7" fillId="2" borderId="0" xfId="0" applyNumberFormat="1" applyFont="1" applyFill="1"/>
    <xf numFmtId="43" fontId="23" fillId="2" borderId="0" xfId="0" applyNumberFormat="1" applyFont="1" applyFill="1"/>
    <xf numFmtId="189" fontId="6" fillId="2" borderId="3" xfId="1" applyNumberFormat="1" applyFont="1" applyFill="1" applyBorder="1"/>
    <xf numFmtId="43" fontId="5" fillId="2" borderId="1" xfId="1" applyFont="1" applyFill="1" applyBorder="1" applyAlignment="1">
      <alignment horizontal="center"/>
    </xf>
    <xf numFmtId="43" fontId="6" fillId="2" borderId="3" xfId="1" applyNumberFormat="1" applyFont="1" applyFill="1" applyBorder="1"/>
    <xf numFmtId="43" fontId="5" fillId="2" borderId="4" xfId="1" applyFont="1" applyFill="1" applyBorder="1" applyAlignment="1">
      <alignment horizontal="center"/>
    </xf>
    <xf numFmtId="189" fontId="5" fillId="2" borderId="4" xfId="1" applyNumberFormat="1" applyFont="1" applyFill="1" applyBorder="1"/>
    <xf numFmtId="43" fontId="5" fillId="2" borderId="5" xfId="1" applyFont="1" applyFill="1" applyBorder="1" applyAlignment="1">
      <alignment horizontal="center"/>
    </xf>
    <xf numFmtId="4" fontId="6" fillId="2" borderId="3" xfId="1" applyNumberFormat="1" applyFont="1" applyFill="1" applyBorder="1"/>
    <xf numFmtId="4" fontId="6" fillId="2" borderId="1" xfId="1" applyNumberFormat="1" applyFont="1" applyFill="1" applyBorder="1"/>
    <xf numFmtId="4" fontId="6" fillId="0" borderId="14" xfId="1" applyNumberFormat="1" applyFont="1" applyFill="1" applyBorder="1"/>
    <xf numFmtId="4" fontId="6" fillId="2" borderId="6" xfId="1" applyNumberFormat="1" applyFont="1" applyFill="1" applyBorder="1"/>
    <xf numFmtId="4" fontId="6" fillId="2" borderId="7" xfId="1" applyNumberFormat="1" applyFont="1" applyFill="1" applyBorder="1"/>
    <xf numFmtId="0" fontId="6" fillId="2" borderId="0" xfId="0" applyFont="1" applyFill="1" applyBorder="1" applyAlignment="1">
      <alignment horizontal="center"/>
    </xf>
    <xf numFmtId="0" fontId="24" fillId="2" borderId="0" xfId="0" applyFont="1" applyFill="1" applyBorder="1" applyAlignment="1">
      <alignment wrapText="1"/>
    </xf>
    <xf numFmtId="43" fontId="4" fillId="2" borderId="0" xfId="1" applyFont="1" applyFill="1" applyBorder="1"/>
    <xf numFmtId="49" fontId="6" fillId="2" borderId="16" xfId="1" applyNumberFormat="1" applyFont="1" applyFill="1" applyBorder="1"/>
    <xf numFmtId="49" fontId="24" fillId="2" borderId="0" xfId="0" applyNumberFormat="1" applyFont="1" applyFill="1" applyBorder="1" applyAlignment="1">
      <alignment horizontal="left"/>
    </xf>
    <xf numFmtId="188" fontId="11" fillId="2" borderId="0" xfId="1" applyNumberFormat="1" applyFont="1" applyFill="1"/>
    <xf numFmtId="188" fontId="4" fillId="2" borderId="0" xfId="1" applyNumberFormat="1" applyFont="1" applyFill="1" applyAlignment="1">
      <alignment horizontal="center"/>
    </xf>
    <xf numFmtId="188" fontId="6" fillId="2" borderId="0" xfId="1" applyNumberFormat="1" applyFont="1" applyFill="1" applyAlignment="1">
      <alignment horizontal="center"/>
    </xf>
    <xf numFmtId="43" fontId="6" fillId="0" borderId="0" xfId="1" applyFont="1" applyFill="1" applyAlignment="1">
      <alignment horizontal="justify"/>
    </xf>
    <xf numFmtId="43" fontId="6" fillId="0" borderId="0" xfId="1" applyFont="1" applyAlignment="1">
      <alignment horizontal="justify"/>
    </xf>
    <xf numFmtId="43" fontId="5" fillId="0" borderId="0" xfId="1" applyFont="1" applyFill="1" applyAlignment="1">
      <alignment horizontal="justify"/>
    </xf>
    <xf numFmtId="43" fontId="5" fillId="0" borderId="0" xfId="1" applyFont="1" applyAlignment="1">
      <alignment horizontal="justify"/>
    </xf>
    <xf numFmtId="43" fontId="5" fillId="0" borderId="0" xfId="1" applyFont="1" applyFill="1" applyAlignment="1">
      <alignment horizontal="justify" vertical="top"/>
    </xf>
    <xf numFmtId="43" fontId="5" fillId="0" borderId="0" xfId="1" applyFont="1" applyAlignment="1">
      <alignment horizontal="justify" vertical="top"/>
    </xf>
    <xf numFmtId="43" fontId="6" fillId="0" borderId="0" xfId="1" applyFont="1" applyFill="1" applyAlignment="1">
      <alignment horizontal="justify" vertical="top"/>
    </xf>
    <xf numFmtId="43" fontId="6" fillId="0" borderId="0" xfId="1" applyFont="1" applyAlignment="1">
      <alignment horizontal="justify" vertical="top"/>
    </xf>
    <xf numFmtId="43" fontId="5" fillId="0" borderId="0" xfId="1" applyFont="1" applyFill="1" applyAlignment="1">
      <alignment horizontal="justify" vertical="center"/>
    </xf>
    <xf numFmtId="43" fontId="5" fillId="0" borderId="0" xfId="1" applyFont="1" applyAlignment="1">
      <alignment horizontal="justify" vertical="center"/>
    </xf>
    <xf numFmtId="43" fontId="25" fillId="2" borderId="3" xfId="1" applyFont="1" applyFill="1" applyBorder="1"/>
    <xf numFmtId="0" fontId="5" fillId="2" borderId="16" xfId="0" applyFont="1" applyFill="1" applyBorder="1" applyAlignment="1">
      <alignment horizontal="justify" vertical="center"/>
    </xf>
    <xf numFmtId="49" fontId="3" fillId="2" borderId="16" xfId="0" applyNumberFormat="1" applyFont="1" applyFill="1" applyBorder="1"/>
    <xf numFmtId="49" fontId="5" fillId="0" borderId="16" xfId="0" applyNumberFormat="1" applyFont="1" applyFill="1" applyBorder="1"/>
    <xf numFmtId="0" fontId="5" fillId="0" borderId="0" xfId="0" applyFont="1" applyFill="1" applyBorder="1" applyAlignment="1">
      <alignment wrapText="1"/>
    </xf>
    <xf numFmtId="43" fontId="5" fillId="0" borderId="0" xfId="1" applyFont="1" applyFill="1" applyBorder="1" applyAlignment="1">
      <alignment horizontal="right" wrapText="1"/>
    </xf>
    <xf numFmtId="0" fontId="4" fillId="0" borderId="0" xfId="0" applyFont="1" applyAlignment="1">
      <alignment horizontal="center"/>
    </xf>
    <xf numFmtId="43" fontId="4" fillId="0" borderId="0" xfId="1" applyFont="1" applyFill="1" applyAlignment="1">
      <alignment horizontal="center"/>
    </xf>
    <xf numFmtId="43" fontId="4" fillId="0" borderId="0" xfId="1" applyFont="1" applyAlignment="1">
      <alignment horizontal="center"/>
    </xf>
    <xf numFmtId="0" fontId="4" fillId="2" borderId="0" xfId="0" applyFont="1" applyFill="1" applyAlignment="1">
      <alignment horizontal="center"/>
    </xf>
    <xf numFmtId="43" fontId="19" fillId="0" borderId="0" xfId="1" applyFont="1" applyFill="1" applyBorder="1" applyAlignment="1">
      <alignment horizontal="right" wrapText="1"/>
    </xf>
    <xf numFmtId="4" fontId="19" fillId="0" borderId="15" xfId="0" applyNumberFormat="1" applyFont="1" applyFill="1" applyBorder="1" applyAlignment="1">
      <alignment horizontal="right" wrapText="1"/>
    </xf>
    <xf numFmtId="4" fontId="19" fillId="0" borderId="7" xfId="0" applyNumberFormat="1" applyFont="1" applyFill="1" applyBorder="1" applyAlignment="1">
      <alignment horizontal="right" wrapText="1"/>
    </xf>
    <xf numFmtId="4" fontId="19" fillId="0" borderId="17" xfId="0" applyNumberFormat="1" applyFont="1" applyFill="1" applyBorder="1" applyAlignment="1">
      <alignment horizontal="right" wrapText="1"/>
    </xf>
    <xf numFmtId="0" fontId="5" fillId="0" borderId="17" xfId="0" applyFont="1" applyBorder="1"/>
    <xf numFmtId="49" fontId="26" fillId="2" borderId="8" xfId="0" applyNumberFormat="1" applyFont="1" applyFill="1" applyBorder="1" applyAlignment="1"/>
    <xf numFmtId="0" fontId="5" fillId="2" borderId="8" xfId="0" applyFont="1" applyFill="1" applyBorder="1" applyAlignment="1">
      <alignment horizontal="left"/>
    </xf>
    <xf numFmtId="43" fontId="4" fillId="0" borderId="0" xfId="1" applyFont="1" applyFill="1" applyBorder="1"/>
    <xf numFmtId="0" fontId="4" fillId="0" borderId="0" xfId="0" applyFont="1" applyFill="1" applyBorder="1"/>
    <xf numFmtId="0" fontId="12" fillId="0" borderId="0" xfId="0" applyFont="1" applyFill="1" applyBorder="1" applyAlignment="1"/>
    <xf numFmtId="43" fontId="4" fillId="0" borderId="0" xfId="1" applyFont="1" applyFill="1" applyAlignment="1">
      <alignment horizontal="center"/>
    </xf>
    <xf numFmtId="187" fontId="19" fillId="0" borderId="7" xfId="1" applyNumberFormat="1" applyFont="1" applyFill="1" applyBorder="1" applyAlignment="1">
      <alignment wrapText="1"/>
    </xf>
    <xf numFmtId="49" fontId="5" fillId="0" borderId="7" xfId="0" applyNumberFormat="1" applyFont="1" applyFill="1" applyBorder="1" applyAlignment="1"/>
    <xf numFmtId="43" fontId="5" fillId="0" borderId="24" xfId="1" applyFont="1" applyFill="1" applyBorder="1"/>
    <xf numFmtId="0" fontId="5" fillId="2" borderId="12" xfId="0" applyFont="1" applyFill="1" applyBorder="1" applyAlignment="1">
      <alignment horizontal="center"/>
    </xf>
    <xf numFmtId="49" fontId="5" fillId="2" borderId="4" xfId="0" applyNumberFormat="1" applyFont="1" applyFill="1" applyBorder="1" applyAlignment="1">
      <alignment horizontal="left" shrinkToFit="1"/>
    </xf>
    <xf numFmtId="43" fontId="5" fillId="0" borderId="1" xfId="1" applyFont="1" applyFill="1" applyBorder="1" applyAlignment="1">
      <alignment shrinkToFit="1"/>
    </xf>
    <xf numFmtId="188" fontId="5" fillId="0" borderId="1" xfId="1" applyNumberFormat="1" applyFont="1" applyBorder="1"/>
    <xf numFmtId="188" fontId="5" fillId="0" borderId="1" xfId="1" applyNumberFormat="1" applyFont="1" applyBorder="1" applyAlignment="1">
      <alignment horizontal="center"/>
    </xf>
    <xf numFmtId="43" fontId="5" fillId="2" borderId="13" xfId="1" applyFont="1" applyFill="1" applyBorder="1" applyAlignment="1">
      <alignment horizontal="center"/>
    </xf>
    <xf numFmtId="189" fontId="6" fillId="2" borderId="4" xfId="1" applyNumberFormat="1" applyFont="1" applyFill="1" applyBorder="1"/>
    <xf numFmtId="0" fontId="4" fillId="2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49" fontId="5" fillId="2" borderId="3" xfId="0" applyNumberFormat="1" applyFont="1" applyFill="1" applyBorder="1" applyAlignment="1">
      <alignment horizontal="left" shrinkToFit="1"/>
    </xf>
    <xf numFmtId="188" fontId="5" fillId="0" borderId="3" xfId="1" applyNumberFormat="1" applyFont="1" applyBorder="1" applyAlignment="1">
      <alignment horizontal="center"/>
    </xf>
    <xf numFmtId="190" fontId="6" fillId="2" borderId="4" xfId="1" applyNumberFormat="1" applyFont="1" applyFill="1" applyBorder="1"/>
    <xf numFmtId="4" fontId="6" fillId="2" borderId="4" xfId="1" applyNumberFormat="1" applyFont="1" applyFill="1" applyBorder="1"/>
    <xf numFmtId="188" fontId="5" fillId="2" borderId="4" xfId="1" applyNumberFormat="1" applyFont="1" applyFill="1" applyBorder="1"/>
    <xf numFmtId="43" fontId="5" fillId="2" borderId="5" xfId="1" applyFont="1" applyFill="1" applyBorder="1" applyAlignment="1"/>
    <xf numFmtId="43" fontId="5" fillId="0" borderId="0" xfId="1" applyFont="1" applyBorder="1"/>
    <xf numFmtId="43" fontId="5" fillId="2" borderId="0" xfId="1" applyFont="1" applyFill="1" applyBorder="1" applyAlignment="1">
      <alignment horizontal="center"/>
    </xf>
    <xf numFmtId="0" fontId="19" fillId="0" borderId="0" xfId="0" applyFont="1" applyBorder="1"/>
    <xf numFmtId="49" fontId="5" fillId="2" borderId="0" xfId="0" applyNumberFormat="1" applyFont="1" applyFill="1" applyAlignment="1"/>
    <xf numFmtId="49" fontId="25" fillId="0" borderId="16" xfId="0" applyNumberFormat="1" applyFont="1" applyFill="1" applyBorder="1"/>
    <xf numFmtId="49" fontId="5" fillId="0" borderId="22" xfId="0" applyNumberFormat="1" applyFont="1" applyFill="1" applyBorder="1"/>
    <xf numFmtId="43" fontId="25" fillId="2" borderId="6" xfId="1" applyFont="1" applyFill="1" applyBorder="1"/>
    <xf numFmtId="43" fontId="25" fillId="2" borderId="8" xfId="1" applyFont="1" applyFill="1" applyBorder="1"/>
    <xf numFmtId="43" fontId="8" fillId="2" borderId="6" xfId="1" applyFont="1" applyFill="1" applyBorder="1"/>
    <xf numFmtId="43" fontId="5" fillId="0" borderId="7" xfId="1" applyFont="1" applyFill="1" applyBorder="1"/>
    <xf numFmtId="43" fontId="25" fillId="0" borderId="7" xfId="1" applyFont="1" applyFill="1" applyBorder="1"/>
    <xf numFmtId="43" fontId="25" fillId="2" borderId="5" xfId="1" applyFont="1" applyFill="1" applyBorder="1"/>
    <xf numFmtId="0" fontId="6" fillId="2" borderId="0" xfId="0" applyFont="1" applyFill="1" applyAlignment="1">
      <alignment horizontal="center"/>
    </xf>
    <xf numFmtId="40" fontId="6" fillId="2" borderId="5" xfId="1" applyNumberFormat="1" applyFont="1" applyFill="1" applyBorder="1"/>
    <xf numFmtId="4" fontId="6" fillId="2" borderId="14" xfId="1" applyNumberFormat="1" applyFont="1" applyFill="1" applyBorder="1"/>
    <xf numFmtId="43" fontId="6" fillId="0" borderId="7" xfId="0" applyNumberFormat="1" applyFont="1" applyFill="1" applyBorder="1"/>
    <xf numFmtId="4" fontId="6" fillId="0" borderId="7" xfId="1" applyNumberFormat="1" applyFont="1" applyFill="1" applyBorder="1"/>
    <xf numFmtId="189" fontId="6" fillId="0" borderId="7" xfId="1" applyNumberFormat="1" applyFont="1" applyFill="1" applyBorder="1"/>
    <xf numFmtId="40" fontId="6" fillId="2" borderId="1" xfId="1" applyNumberFormat="1" applyFont="1" applyFill="1" applyBorder="1"/>
    <xf numFmtId="39" fontId="6" fillId="0" borderId="17" xfId="1" applyNumberFormat="1" applyFont="1" applyFill="1" applyBorder="1"/>
    <xf numFmtId="190" fontId="6" fillId="2" borderId="1" xfId="1" applyNumberFormat="1" applyFont="1" applyFill="1" applyBorder="1"/>
    <xf numFmtId="49" fontId="5" fillId="0" borderId="4" xfId="1" applyNumberFormat="1" applyFont="1" applyFill="1" applyBorder="1"/>
    <xf numFmtId="49" fontId="5" fillId="2" borderId="1" xfId="0" applyNumberFormat="1" applyFont="1" applyFill="1" applyBorder="1"/>
    <xf numFmtId="0" fontId="4" fillId="0" borderId="0" xfId="0" applyFont="1" applyFill="1" applyAlignment="1">
      <alignment horizontal="center"/>
    </xf>
    <xf numFmtId="43" fontId="5" fillId="2" borderId="0" xfId="1" applyFont="1" applyFill="1" applyBorder="1" applyAlignment="1">
      <alignment horizontal="left"/>
    </xf>
    <xf numFmtId="49" fontId="5" fillId="2" borderId="16" xfId="1" applyNumberFormat="1" applyFont="1" applyFill="1" applyBorder="1"/>
    <xf numFmtId="0" fontId="4" fillId="0" borderId="16" xfId="0" applyFont="1" applyFill="1" applyBorder="1" applyAlignment="1"/>
    <xf numFmtId="43" fontId="5" fillId="0" borderId="16" xfId="1" applyFont="1" applyFill="1" applyBorder="1" applyAlignment="1"/>
    <xf numFmtId="49" fontId="5" fillId="0" borderId="16" xfId="0" applyNumberFormat="1" applyFont="1" applyFill="1" applyBorder="1" applyAlignment="1"/>
    <xf numFmtId="49" fontId="25" fillId="0" borderId="16" xfId="0" applyNumberFormat="1" applyFont="1" applyFill="1" applyBorder="1" applyAlignment="1"/>
    <xf numFmtId="49" fontId="27" fillId="0" borderId="16" xfId="0" applyNumberFormat="1" applyFont="1" applyFill="1" applyBorder="1" applyAlignment="1"/>
    <xf numFmtId="0" fontId="4" fillId="2" borderId="0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49" fontId="4" fillId="0" borderId="16" xfId="0" applyNumberFormat="1" applyFont="1" applyFill="1" applyBorder="1" applyAlignment="1"/>
    <xf numFmtId="0" fontId="4" fillId="2" borderId="16" xfId="0" applyFont="1" applyFill="1" applyBorder="1" applyAlignment="1"/>
    <xf numFmtId="43" fontId="5" fillId="2" borderId="16" xfId="1" applyFont="1" applyFill="1" applyBorder="1" applyAlignment="1"/>
    <xf numFmtId="191" fontId="6" fillId="2" borderId="16" xfId="1" applyNumberFormat="1" applyFont="1" applyFill="1" applyBorder="1" applyAlignment="1"/>
    <xf numFmtId="49" fontId="6" fillId="2" borderId="16" xfId="1" applyNumberFormat="1" applyFont="1" applyFill="1" applyBorder="1" applyAlignment="1"/>
    <xf numFmtId="0" fontId="5" fillId="2" borderId="16" xfId="0" applyFont="1" applyFill="1" applyBorder="1" applyAlignment="1"/>
    <xf numFmtId="0" fontId="4" fillId="0" borderId="16" xfId="0" applyFont="1" applyFill="1" applyBorder="1"/>
    <xf numFmtId="43" fontId="5" fillId="0" borderId="16" xfId="1" applyFont="1" applyFill="1" applyBorder="1"/>
    <xf numFmtId="49" fontId="27" fillId="0" borderId="16" xfId="0" applyNumberFormat="1" applyFont="1" applyFill="1" applyBorder="1"/>
    <xf numFmtId="49" fontId="4" fillId="0" borderId="16" xfId="0" applyNumberFormat="1" applyFont="1" applyFill="1" applyBorder="1"/>
    <xf numFmtId="191" fontId="6" fillId="2" borderId="16" xfId="1" applyNumberFormat="1" applyFont="1" applyFill="1" applyBorder="1"/>
    <xf numFmtId="49" fontId="5" fillId="2" borderId="0" xfId="0" applyNumberFormat="1" applyFont="1" applyFill="1" applyBorder="1" applyAlignment="1"/>
    <xf numFmtId="49" fontId="5" fillId="2" borderId="0" xfId="1" applyNumberFormat="1" applyFont="1" applyFill="1" applyBorder="1" applyAlignment="1">
      <alignment horizontal="left"/>
    </xf>
    <xf numFmtId="0" fontId="5" fillId="2" borderId="0" xfId="0" applyFont="1" applyFill="1" applyBorder="1" applyAlignment="1"/>
    <xf numFmtId="0" fontId="4" fillId="2" borderId="0" xfId="0" applyFont="1" applyFill="1" applyAlignment="1">
      <alignment horizontal="center"/>
    </xf>
    <xf numFmtId="43" fontId="4" fillId="2" borderId="0" xfId="0" applyNumberFormat="1" applyFont="1" applyFill="1" applyAlignment="1">
      <alignment horizontal="center"/>
    </xf>
    <xf numFmtId="49" fontId="5" fillId="0" borderId="6" xfId="1" applyNumberFormat="1" applyFont="1" applyFill="1" applyBorder="1" applyAlignment="1">
      <alignment horizontal="left"/>
    </xf>
    <xf numFmtId="49" fontId="5" fillId="0" borderId="7" xfId="1" applyNumberFormat="1" applyFont="1" applyFill="1" applyBorder="1"/>
    <xf numFmtId="49" fontId="5" fillId="0" borderId="6" xfId="0" applyNumberFormat="1" applyFont="1" applyFill="1" applyBorder="1" applyAlignment="1">
      <alignment horizontal="left" shrinkToFit="1"/>
    </xf>
    <xf numFmtId="0" fontId="5" fillId="0" borderId="7" xfId="0" applyFont="1" applyFill="1" applyBorder="1"/>
    <xf numFmtId="49" fontId="5" fillId="0" borderId="7" xfId="0" applyNumberFormat="1" applyFont="1" applyFill="1" applyBorder="1" applyAlignment="1">
      <alignment horizontal="left" shrinkToFit="1"/>
    </xf>
    <xf numFmtId="43" fontId="28" fillId="2" borderId="0" xfId="1" applyFont="1" applyFill="1"/>
    <xf numFmtId="0" fontId="28" fillId="2" borderId="0" xfId="0" applyFont="1" applyFill="1" applyAlignment="1">
      <alignment horizontal="right"/>
    </xf>
    <xf numFmtId="0" fontId="5" fillId="0" borderId="6" xfId="0" applyFont="1" applyFill="1" applyBorder="1"/>
    <xf numFmtId="0" fontId="5" fillId="0" borderId="8" xfId="0" applyFont="1" applyFill="1" applyBorder="1"/>
    <xf numFmtId="0" fontId="5" fillId="0" borderId="8" xfId="0" applyFont="1" applyFill="1" applyBorder="1" applyAlignment="1">
      <alignment shrinkToFit="1"/>
    </xf>
    <xf numFmtId="0" fontId="5" fillId="0" borderId="7" xfId="0" applyFont="1" applyFill="1" applyBorder="1" applyAlignment="1">
      <alignment shrinkToFit="1"/>
    </xf>
    <xf numFmtId="0" fontId="5" fillId="0" borderId="5" xfId="0" applyFont="1" applyFill="1" applyBorder="1"/>
    <xf numFmtId="0" fontId="5" fillId="0" borderId="8" xfId="0" applyFont="1" applyFill="1" applyBorder="1" applyAlignment="1">
      <alignment horizontal="left"/>
    </xf>
    <xf numFmtId="43" fontId="27" fillId="0" borderId="14" xfId="1" applyFont="1" applyFill="1" applyBorder="1"/>
    <xf numFmtId="0" fontId="5" fillId="0" borderId="7" xfId="0" applyFont="1" applyFill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Fill="1" applyBorder="1" applyAlignment="1">
      <alignment horizontal="center"/>
    </xf>
    <xf numFmtId="43" fontId="6" fillId="2" borderId="9" xfId="1" applyFont="1" applyFill="1" applyBorder="1" applyAlignment="1">
      <alignment horizontal="center"/>
    </xf>
    <xf numFmtId="0" fontId="6" fillId="2" borderId="23" xfId="0" applyFont="1" applyFill="1" applyBorder="1" applyAlignment="1">
      <alignment horizontal="center"/>
    </xf>
    <xf numFmtId="0" fontId="6" fillId="2" borderId="24" xfId="0" applyFont="1" applyFill="1" applyBorder="1" applyAlignment="1">
      <alignment horizontal="center"/>
    </xf>
    <xf numFmtId="0" fontId="6" fillId="2" borderId="13" xfId="0" applyFont="1" applyFill="1" applyBorder="1" applyAlignment="1">
      <alignment horizontal="center"/>
    </xf>
    <xf numFmtId="43" fontId="6" fillId="2" borderId="23" xfId="1" applyFont="1" applyFill="1" applyBorder="1" applyAlignment="1">
      <alignment horizontal="center"/>
    </xf>
    <xf numFmtId="43" fontId="6" fillId="2" borderId="24" xfId="1" applyFont="1" applyFill="1" applyBorder="1" applyAlignment="1">
      <alignment horizontal="center"/>
    </xf>
    <xf numFmtId="43" fontId="6" fillId="2" borderId="13" xfId="1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43" fontId="4" fillId="0" borderId="0" xfId="1" applyFont="1" applyFill="1" applyAlignment="1">
      <alignment horizontal="center"/>
    </xf>
    <xf numFmtId="43" fontId="4" fillId="0" borderId="0" xfId="1" applyFont="1" applyAlignment="1">
      <alignment horizontal="center"/>
    </xf>
    <xf numFmtId="0" fontId="11" fillId="2" borderId="23" xfId="0" applyFont="1" applyFill="1" applyBorder="1" applyAlignment="1">
      <alignment horizontal="center"/>
    </xf>
    <xf numFmtId="0" fontId="11" fillId="2" borderId="24" xfId="0" applyFont="1" applyFill="1" applyBorder="1" applyAlignment="1">
      <alignment horizontal="center"/>
    </xf>
    <xf numFmtId="0" fontId="11" fillId="2" borderId="13" xfId="0" applyFont="1" applyFill="1" applyBorder="1" applyAlignment="1">
      <alignment horizontal="center"/>
    </xf>
    <xf numFmtId="0" fontId="15" fillId="0" borderId="23" xfId="0" applyFont="1" applyBorder="1" applyAlignment="1">
      <alignment horizontal="center"/>
    </xf>
    <xf numFmtId="0" fontId="15" fillId="0" borderId="24" xfId="0" applyFont="1" applyBorder="1" applyAlignment="1">
      <alignment horizontal="center"/>
    </xf>
    <xf numFmtId="0" fontId="15" fillId="0" borderId="13" xfId="0" applyFont="1" applyBorder="1" applyAlignment="1">
      <alignment horizontal="center"/>
    </xf>
    <xf numFmtId="0" fontId="15" fillId="0" borderId="23" xfId="0" applyFont="1" applyFill="1" applyBorder="1" applyAlignment="1">
      <alignment horizontal="center"/>
    </xf>
    <xf numFmtId="0" fontId="15" fillId="0" borderId="24" xfId="0" applyFont="1" applyFill="1" applyBorder="1" applyAlignment="1">
      <alignment horizontal="center"/>
    </xf>
    <xf numFmtId="0" fontId="15" fillId="0" borderId="13" xfId="0" applyFont="1" applyFill="1" applyBorder="1" applyAlignment="1">
      <alignment horizontal="center"/>
    </xf>
    <xf numFmtId="0" fontId="4" fillId="0" borderId="0" xfId="0" applyFont="1" applyFill="1" applyAlignment="1">
      <alignment horizontal="center"/>
    </xf>
    <xf numFmtId="43" fontId="5" fillId="2" borderId="0" xfId="1" applyFont="1" applyFill="1" applyBorder="1" applyAlignment="1">
      <alignment horizontal="left"/>
    </xf>
    <xf numFmtId="43" fontId="15" fillId="0" borderId="23" xfId="1" applyFont="1" applyBorder="1" applyAlignment="1">
      <alignment horizontal="center"/>
    </xf>
    <xf numFmtId="43" fontId="15" fillId="0" borderId="24" xfId="1" applyFont="1" applyBorder="1" applyAlignment="1">
      <alignment horizontal="center"/>
    </xf>
    <xf numFmtId="43" fontId="15" fillId="0" borderId="13" xfId="1" applyFont="1" applyBorder="1" applyAlignment="1">
      <alignment horizontal="center"/>
    </xf>
    <xf numFmtId="43" fontId="15" fillId="0" borderId="23" xfId="1" applyFont="1" applyFill="1" applyBorder="1" applyAlignment="1">
      <alignment horizontal="center"/>
    </xf>
    <xf numFmtId="43" fontId="15" fillId="0" borderId="24" xfId="1" applyFont="1" applyFill="1" applyBorder="1" applyAlignment="1">
      <alignment horizontal="center"/>
    </xf>
    <xf numFmtId="43" fontId="15" fillId="0" borderId="13" xfId="1" applyFont="1" applyFill="1" applyBorder="1" applyAlignment="1">
      <alignment horizontal="center"/>
    </xf>
    <xf numFmtId="0" fontId="15" fillId="2" borderId="23" xfId="0" applyFont="1" applyFill="1" applyBorder="1" applyAlignment="1">
      <alignment horizontal="center"/>
    </xf>
    <xf numFmtId="0" fontId="15" fillId="2" borderId="24" xfId="0" applyFont="1" applyFill="1" applyBorder="1" applyAlignment="1">
      <alignment horizontal="center"/>
    </xf>
    <xf numFmtId="0" fontId="15" fillId="2" borderId="13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6" fillId="2" borderId="9" xfId="0" applyFont="1" applyFill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24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6" fillId="0" borderId="23" xfId="0" applyFont="1" applyFill="1" applyBorder="1" applyAlignment="1">
      <alignment horizontal="center"/>
    </xf>
    <xf numFmtId="0" fontId="6" fillId="0" borderId="24" xfId="0" applyFont="1" applyFill="1" applyBorder="1" applyAlignment="1">
      <alignment horizontal="center"/>
    </xf>
    <xf numFmtId="0" fontId="6" fillId="0" borderId="13" xfId="0" applyFont="1" applyFill="1" applyBorder="1" applyAlignment="1">
      <alignment horizontal="center"/>
    </xf>
    <xf numFmtId="49" fontId="4" fillId="0" borderId="0" xfId="0" applyNumberFormat="1" applyFont="1" applyFill="1" applyAlignment="1">
      <alignment horizontal="center"/>
    </xf>
  </cellXfs>
  <cellStyles count="2">
    <cellStyle name="เครื่องหมายจุลภาค" xfId="1" builtinId="3"/>
    <cellStyle name="ปกติ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theme" Target="theme/theme1.xml"/><Relationship Id="rId3" Type="http://schemas.openxmlformats.org/officeDocument/2006/relationships/worksheet" Target="worksheets/sheet3.xml"/><Relationship Id="rId21" Type="http://schemas.openxmlformats.org/officeDocument/2006/relationships/calcChain" Target="calcChain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26</xdr:row>
      <xdr:rowOff>47625</xdr:rowOff>
    </xdr:from>
    <xdr:to>
      <xdr:col>0</xdr:col>
      <xdr:colOff>0</xdr:colOff>
      <xdr:row>27</xdr:row>
      <xdr:rowOff>0</xdr:rowOff>
    </xdr:to>
    <xdr:sp macro="" textlink="">
      <xdr:nvSpPr>
        <xdr:cNvPr id="238160" name="AutoShape 1"/>
        <xdr:cNvSpPr>
          <a:spLocks/>
        </xdr:cNvSpPr>
      </xdr:nvSpPr>
      <xdr:spPr bwMode="auto">
        <a:xfrm>
          <a:off x="0" y="8001000"/>
          <a:ext cx="0" cy="2571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26</xdr:row>
      <xdr:rowOff>47625</xdr:rowOff>
    </xdr:from>
    <xdr:to>
      <xdr:col>0</xdr:col>
      <xdr:colOff>0</xdr:colOff>
      <xdr:row>27</xdr:row>
      <xdr:rowOff>0</xdr:rowOff>
    </xdr:to>
    <xdr:sp macro="" textlink="">
      <xdr:nvSpPr>
        <xdr:cNvPr id="238161" name="AutoShape 2"/>
        <xdr:cNvSpPr>
          <a:spLocks/>
        </xdr:cNvSpPr>
      </xdr:nvSpPr>
      <xdr:spPr bwMode="auto">
        <a:xfrm>
          <a:off x="0" y="8001000"/>
          <a:ext cx="0" cy="2571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26</xdr:row>
      <xdr:rowOff>47625</xdr:rowOff>
    </xdr:from>
    <xdr:to>
      <xdr:col>0</xdr:col>
      <xdr:colOff>0</xdr:colOff>
      <xdr:row>27</xdr:row>
      <xdr:rowOff>0</xdr:rowOff>
    </xdr:to>
    <xdr:sp macro="" textlink="">
      <xdr:nvSpPr>
        <xdr:cNvPr id="238162" name="AutoShape 3"/>
        <xdr:cNvSpPr>
          <a:spLocks/>
        </xdr:cNvSpPr>
      </xdr:nvSpPr>
      <xdr:spPr bwMode="auto">
        <a:xfrm>
          <a:off x="0" y="8001000"/>
          <a:ext cx="0" cy="2571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26</xdr:row>
      <xdr:rowOff>47625</xdr:rowOff>
    </xdr:from>
    <xdr:to>
      <xdr:col>0</xdr:col>
      <xdr:colOff>0</xdr:colOff>
      <xdr:row>27</xdr:row>
      <xdr:rowOff>0</xdr:rowOff>
    </xdr:to>
    <xdr:sp macro="" textlink="">
      <xdr:nvSpPr>
        <xdr:cNvPr id="238163" name="AutoShape 4"/>
        <xdr:cNvSpPr>
          <a:spLocks/>
        </xdr:cNvSpPr>
      </xdr:nvSpPr>
      <xdr:spPr bwMode="auto">
        <a:xfrm>
          <a:off x="0" y="8001000"/>
          <a:ext cx="0" cy="2571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26</xdr:row>
      <xdr:rowOff>57150</xdr:rowOff>
    </xdr:from>
    <xdr:to>
      <xdr:col>0</xdr:col>
      <xdr:colOff>0</xdr:colOff>
      <xdr:row>27</xdr:row>
      <xdr:rowOff>0</xdr:rowOff>
    </xdr:to>
    <xdr:sp macro="" textlink="">
      <xdr:nvSpPr>
        <xdr:cNvPr id="238164" name="AutoShape 5"/>
        <xdr:cNvSpPr>
          <a:spLocks/>
        </xdr:cNvSpPr>
      </xdr:nvSpPr>
      <xdr:spPr bwMode="auto">
        <a:xfrm>
          <a:off x="0" y="8010525"/>
          <a:ext cx="0" cy="24765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26</xdr:row>
      <xdr:rowOff>57150</xdr:rowOff>
    </xdr:from>
    <xdr:to>
      <xdr:col>0</xdr:col>
      <xdr:colOff>0</xdr:colOff>
      <xdr:row>27</xdr:row>
      <xdr:rowOff>0</xdr:rowOff>
    </xdr:to>
    <xdr:sp macro="" textlink="">
      <xdr:nvSpPr>
        <xdr:cNvPr id="238165" name="AutoShape 6"/>
        <xdr:cNvSpPr>
          <a:spLocks/>
        </xdr:cNvSpPr>
      </xdr:nvSpPr>
      <xdr:spPr bwMode="auto">
        <a:xfrm>
          <a:off x="0" y="8010525"/>
          <a:ext cx="0" cy="24765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26</xdr:row>
      <xdr:rowOff>47625</xdr:rowOff>
    </xdr:from>
    <xdr:to>
      <xdr:col>0</xdr:col>
      <xdr:colOff>0</xdr:colOff>
      <xdr:row>27</xdr:row>
      <xdr:rowOff>0</xdr:rowOff>
    </xdr:to>
    <xdr:sp macro="" textlink="">
      <xdr:nvSpPr>
        <xdr:cNvPr id="238166" name="AutoShape 7"/>
        <xdr:cNvSpPr>
          <a:spLocks/>
        </xdr:cNvSpPr>
      </xdr:nvSpPr>
      <xdr:spPr bwMode="auto">
        <a:xfrm>
          <a:off x="0" y="8001000"/>
          <a:ext cx="0" cy="2571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26</xdr:row>
      <xdr:rowOff>38100</xdr:rowOff>
    </xdr:from>
    <xdr:to>
      <xdr:col>0</xdr:col>
      <xdr:colOff>0</xdr:colOff>
      <xdr:row>27</xdr:row>
      <xdr:rowOff>0</xdr:rowOff>
    </xdr:to>
    <xdr:sp macro="" textlink="">
      <xdr:nvSpPr>
        <xdr:cNvPr id="238167" name="AutoShape 8"/>
        <xdr:cNvSpPr>
          <a:spLocks/>
        </xdr:cNvSpPr>
      </xdr:nvSpPr>
      <xdr:spPr bwMode="auto">
        <a:xfrm>
          <a:off x="0" y="7991475"/>
          <a:ext cx="0" cy="26670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26</xdr:row>
      <xdr:rowOff>47625</xdr:rowOff>
    </xdr:from>
    <xdr:to>
      <xdr:col>0</xdr:col>
      <xdr:colOff>0</xdr:colOff>
      <xdr:row>27</xdr:row>
      <xdr:rowOff>0</xdr:rowOff>
    </xdr:to>
    <xdr:sp macro="" textlink="">
      <xdr:nvSpPr>
        <xdr:cNvPr id="238168" name="AutoShape 9"/>
        <xdr:cNvSpPr>
          <a:spLocks/>
        </xdr:cNvSpPr>
      </xdr:nvSpPr>
      <xdr:spPr bwMode="auto">
        <a:xfrm>
          <a:off x="0" y="8001000"/>
          <a:ext cx="0" cy="2571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26</xdr:row>
      <xdr:rowOff>57150</xdr:rowOff>
    </xdr:from>
    <xdr:to>
      <xdr:col>0</xdr:col>
      <xdr:colOff>0</xdr:colOff>
      <xdr:row>27</xdr:row>
      <xdr:rowOff>0</xdr:rowOff>
    </xdr:to>
    <xdr:sp macro="" textlink="">
      <xdr:nvSpPr>
        <xdr:cNvPr id="238169" name="AutoShape 10"/>
        <xdr:cNvSpPr>
          <a:spLocks/>
        </xdr:cNvSpPr>
      </xdr:nvSpPr>
      <xdr:spPr bwMode="auto">
        <a:xfrm>
          <a:off x="0" y="8010525"/>
          <a:ext cx="0" cy="24765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38100</xdr:rowOff>
    </xdr:from>
    <xdr:to>
      <xdr:col>0</xdr:col>
      <xdr:colOff>0</xdr:colOff>
      <xdr:row>32</xdr:row>
      <xdr:rowOff>0</xdr:rowOff>
    </xdr:to>
    <xdr:sp macro="" textlink="">
      <xdr:nvSpPr>
        <xdr:cNvPr id="238170" name="AutoShape 11"/>
        <xdr:cNvSpPr>
          <a:spLocks/>
        </xdr:cNvSpPr>
      </xdr:nvSpPr>
      <xdr:spPr bwMode="auto">
        <a:xfrm>
          <a:off x="0" y="9515475"/>
          <a:ext cx="0" cy="26670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47625</xdr:rowOff>
    </xdr:from>
    <xdr:to>
      <xdr:col>0</xdr:col>
      <xdr:colOff>0</xdr:colOff>
      <xdr:row>32</xdr:row>
      <xdr:rowOff>0</xdr:rowOff>
    </xdr:to>
    <xdr:sp macro="" textlink="">
      <xdr:nvSpPr>
        <xdr:cNvPr id="238171" name="AutoShape 12"/>
        <xdr:cNvSpPr>
          <a:spLocks/>
        </xdr:cNvSpPr>
      </xdr:nvSpPr>
      <xdr:spPr bwMode="auto">
        <a:xfrm>
          <a:off x="0" y="9525000"/>
          <a:ext cx="0" cy="2571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47625</xdr:rowOff>
    </xdr:from>
    <xdr:to>
      <xdr:col>0</xdr:col>
      <xdr:colOff>0</xdr:colOff>
      <xdr:row>32</xdr:row>
      <xdr:rowOff>0</xdr:rowOff>
    </xdr:to>
    <xdr:sp macro="" textlink="">
      <xdr:nvSpPr>
        <xdr:cNvPr id="238172" name="AutoShape 13"/>
        <xdr:cNvSpPr>
          <a:spLocks/>
        </xdr:cNvSpPr>
      </xdr:nvSpPr>
      <xdr:spPr bwMode="auto">
        <a:xfrm>
          <a:off x="0" y="9525000"/>
          <a:ext cx="0" cy="2571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0</xdr:col>
      <xdr:colOff>0</xdr:colOff>
      <xdr:row>32</xdr:row>
      <xdr:rowOff>0</xdr:rowOff>
    </xdr:to>
    <xdr:sp macro="" textlink="">
      <xdr:nvSpPr>
        <xdr:cNvPr id="238173" name="AutoShape 14"/>
        <xdr:cNvSpPr>
          <a:spLocks/>
        </xdr:cNvSpPr>
      </xdr:nvSpPr>
      <xdr:spPr bwMode="auto">
        <a:xfrm>
          <a:off x="0" y="9534525"/>
          <a:ext cx="0" cy="24765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0</xdr:col>
      <xdr:colOff>0</xdr:colOff>
      <xdr:row>32</xdr:row>
      <xdr:rowOff>0</xdr:rowOff>
    </xdr:to>
    <xdr:sp macro="" textlink="">
      <xdr:nvSpPr>
        <xdr:cNvPr id="238174" name="AutoShape 15"/>
        <xdr:cNvSpPr>
          <a:spLocks/>
        </xdr:cNvSpPr>
      </xdr:nvSpPr>
      <xdr:spPr bwMode="auto">
        <a:xfrm>
          <a:off x="0" y="9534525"/>
          <a:ext cx="0" cy="24765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47625</xdr:rowOff>
    </xdr:from>
    <xdr:to>
      <xdr:col>0</xdr:col>
      <xdr:colOff>0</xdr:colOff>
      <xdr:row>32</xdr:row>
      <xdr:rowOff>0</xdr:rowOff>
    </xdr:to>
    <xdr:sp macro="" textlink="">
      <xdr:nvSpPr>
        <xdr:cNvPr id="238175" name="AutoShape 16"/>
        <xdr:cNvSpPr>
          <a:spLocks/>
        </xdr:cNvSpPr>
      </xdr:nvSpPr>
      <xdr:spPr bwMode="auto">
        <a:xfrm>
          <a:off x="0" y="9525000"/>
          <a:ext cx="0" cy="2571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38100</xdr:rowOff>
    </xdr:from>
    <xdr:to>
      <xdr:col>0</xdr:col>
      <xdr:colOff>0</xdr:colOff>
      <xdr:row>32</xdr:row>
      <xdr:rowOff>0</xdr:rowOff>
    </xdr:to>
    <xdr:sp macro="" textlink="">
      <xdr:nvSpPr>
        <xdr:cNvPr id="238176" name="AutoShape 17"/>
        <xdr:cNvSpPr>
          <a:spLocks/>
        </xdr:cNvSpPr>
      </xdr:nvSpPr>
      <xdr:spPr bwMode="auto">
        <a:xfrm>
          <a:off x="0" y="9515475"/>
          <a:ext cx="0" cy="26670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0</xdr:col>
      <xdr:colOff>0</xdr:colOff>
      <xdr:row>32</xdr:row>
      <xdr:rowOff>0</xdr:rowOff>
    </xdr:to>
    <xdr:sp macro="" textlink="">
      <xdr:nvSpPr>
        <xdr:cNvPr id="238177" name="AutoShape 18"/>
        <xdr:cNvSpPr>
          <a:spLocks/>
        </xdr:cNvSpPr>
      </xdr:nvSpPr>
      <xdr:spPr bwMode="auto">
        <a:xfrm>
          <a:off x="0" y="9534525"/>
          <a:ext cx="0" cy="24765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0</xdr:col>
      <xdr:colOff>0</xdr:colOff>
      <xdr:row>32</xdr:row>
      <xdr:rowOff>0</xdr:rowOff>
    </xdr:to>
    <xdr:sp macro="" textlink="">
      <xdr:nvSpPr>
        <xdr:cNvPr id="238178" name="AutoShape 19"/>
        <xdr:cNvSpPr>
          <a:spLocks/>
        </xdr:cNvSpPr>
      </xdr:nvSpPr>
      <xdr:spPr bwMode="auto">
        <a:xfrm>
          <a:off x="0" y="9534525"/>
          <a:ext cx="0" cy="24765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0</xdr:colOff>
      <xdr:row>31</xdr:row>
      <xdr:rowOff>57150</xdr:rowOff>
    </xdr:from>
    <xdr:to>
      <xdr:col>0</xdr:col>
      <xdr:colOff>0</xdr:colOff>
      <xdr:row>32</xdr:row>
      <xdr:rowOff>0</xdr:rowOff>
    </xdr:to>
    <xdr:sp macro="" textlink="">
      <xdr:nvSpPr>
        <xdr:cNvPr id="238179" name="AutoShape 20"/>
        <xdr:cNvSpPr>
          <a:spLocks/>
        </xdr:cNvSpPr>
      </xdr:nvSpPr>
      <xdr:spPr bwMode="auto">
        <a:xfrm>
          <a:off x="0" y="9534525"/>
          <a:ext cx="0" cy="24765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DSD109/AppData/Local/Microsoft/Windows/Temporary%20Internet%20Files/Content.IE5/1FZKE2AW/&#3605;&#3634;&#3619;&#3634;&#3591;&#3585;&#3634;&#3619;&#3588;&#3635;&#3609;&#3623;&#3603;%2058%20(&#3591;&#3611;&#3617;.%2059)%20&#3626;&#3656;&#3591;&#3585;&#3619;&#3617;&#3610;&#3633;&#3597;&#3594;&#3637;&#3585;&#3621;&#3634;&#3591;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ตารางที่ 1 ส่ง"/>
      <sheetName val="ตารางที่ 2 ส่ง"/>
      <sheetName val="ตารางที่ 3 ส่ง"/>
      <sheetName val="ตารางที่ 4 ส่ง"/>
      <sheetName val="ตารางที่ 5 ส่ง"/>
      <sheetName val="ตารางที่ 6 ส่ง"/>
      <sheetName val="ตารางที่ 7"/>
      <sheetName val="ตารางที่ 7 ต่อ "/>
      <sheetName val="ตารางที่ 8 ส่ง"/>
      <sheetName val="ตารางที่ 8 ต่อ"/>
      <sheetName val="ตารางที่ 9 ส่ง"/>
      <sheetName val="ตารางที่ 9 ต่อ"/>
      <sheetName val="ตารางที่ 10 ส่ง"/>
      <sheetName val="ตารางที่ 11 ส่ง"/>
      <sheetName val="ตารางที่ 11 ต่อ"/>
      <sheetName val="ตารางที่ 12 ส่ง"/>
      <sheetName val="Sheet2"/>
    </sheetNames>
    <sheetDataSet>
      <sheetData sheetId="0"/>
      <sheetData sheetId="1"/>
      <sheetData sheetId="2">
        <row r="9">
          <cell r="B9">
            <v>748398269.67544794</v>
          </cell>
        </row>
      </sheetData>
      <sheetData sheetId="3"/>
      <sheetData sheetId="4">
        <row r="27">
          <cell r="B27">
            <v>2053058.1349900002</v>
          </cell>
          <cell r="C27">
            <v>14900.172280000001</v>
          </cell>
          <cell r="D27">
            <v>99371.411750000014</v>
          </cell>
          <cell r="E27">
            <v>242606.05105000004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rgb="FF92D050"/>
  </sheetPr>
  <dimension ref="A1:J50"/>
  <sheetViews>
    <sheetView tabSelected="1" workbookViewId="0">
      <selection activeCell="G4" sqref="G4"/>
    </sheetView>
  </sheetViews>
  <sheetFormatPr defaultRowHeight="27.75"/>
  <cols>
    <col min="1" max="1" width="46.28515625" style="6" customWidth="1"/>
    <col min="2" max="2" width="24.140625" style="6" customWidth="1"/>
    <col min="3" max="3" width="24.85546875" style="6" customWidth="1"/>
    <col min="4" max="4" width="24.5703125" style="6" customWidth="1"/>
    <col min="5" max="5" width="22" style="6" customWidth="1"/>
    <col min="6" max="6" width="2.7109375" style="6" customWidth="1"/>
    <col min="7" max="7" width="16.5703125" style="47" bestFit="1" customWidth="1"/>
    <col min="8" max="8" width="17.85546875" style="47" bestFit="1" customWidth="1"/>
    <col min="9" max="9" width="18.28515625" style="7" bestFit="1" customWidth="1"/>
    <col min="10" max="10" width="19.7109375" style="6" bestFit="1" customWidth="1"/>
    <col min="11" max="16384" width="9.140625" style="6"/>
  </cols>
  <sheetData>
    <row r="1" spans="1:10" s="2" customFormat="1">
      <c r="A1" s="583" t="s">
        <v>177</v>
      </c>
      <c r="B1" s="583"/>
      <c r="C1" s="583"/>
      <c r="D1" s="583"/>
      <c r="E1" s="583"/>
      <c r="G1" s="29"/>
      <c r="H1" s="29"/>
      <c r="I1" s="257"/>
    </row>
    <row r="2" spans="1:10" s="2" customFormat="1" ht="25.5" customHeight="1">
      <c r="A2" s="583" t="s">
        <v>253</v>
      </c>
      <c r="B2" s="583"/>
      <c r="C2" s="583"/>
      <c r="D2" s="583"/>
      <c r="E2" s="583"/>
      <c r="G2" s="29"/>
      <c r="H2" s="29"/>
      <c r="I2" s="257"/>
    </row>
    <row r="3" spans="1:10" s="2" customFormat="1" ht="25.5" customHeight="1">
      <c r="A3" s="583" t="s">
        <v>277</v>
      </c>
      <c r="B3" s="583"/>
      <c r="C3" s="583"/>
      <c r="D3" s="583"/>
      <c r="E3" s="583"/>
      <c r="G3" s="29"/>
      <c r="H3" s="29"/>
      <c r="I3" s="257"/>
    </row>
    <row r="4" spans="1:10" s="2" customFormat="1">
      <c r="A4" s="229" t="s">
        <v>191</v>
      </c>
      <c r="G4" s="29"/>
      <c r="H4" s="29"/>
      <c r="I4" s="257"/>
    </row>
    <row r="5" spans="1:10" s="2" customFormat="1">
      <c r="E5" s="485" t="s">
        <v>51</v>
      </c>
      <c r="G5" s="29"/>
      <c r="H5" s="29"/>
      <c r="I5" s="257"/>
    </row>
    <row r="6" spans="1:10" s="485" customFormat="1">
      <c r="A6" s="13" t="s">
        <v>43</v>
      </c>
      <c r="B6" s="13" t="s">
        <v>44</v>
      </c>
      <c r="C6" s="13" t="s">
        <v>45</v>
      </c>
      <c r="D6" s="13" t="s">
        <v>46</v>
      </c>
      <c r="E6" s="13" t="s">
        <v>47</v>
      </c>
      <c r="J6" s="42">
        <f>SUM(J7:J14)</f>
        <v>0</v>
      </c>
    </row>
    <row r="7" spans="1:10" s="3" customFormat="1">
      <c r="A7" s="274" t="s">
        <v>48</v>
      </c>
      <c r="B7" s="490">
        <v>848036878.55999994</v>
      </c>
      <c r="C7" s="490">
        <v>26320</v>
      </c>
      <c r="D7" s="490">
        <v>99367351.75</v>
      </c>
      <c r="E7" s="438">
        <f t="shared" ref="E7:E14" si="0">SUM(B7:D7)</f>
        <v>947430550.30999994</v>
      </c>
      <c r="G7" s="486"/>
      <c r="H7" s="486"/>
      <c r="I7" s="487"/>
      <c r="J7" s="5"/>
    </row>
    <row r="8" spans="1:10" s="3" customFormat="1" ht="24">
      <c r="A8" s="275" t="s">
        <v>49</v>
      </c>
      <c r="B8" s="491">
        <v>395298558.25</v>
      </c>
      <c r="C8" s="491">
        <v>5573005.1100000003</v>
      </c>
      <c r="D8" s="275"/>
      <c r="E8" s="277">
        <f t="shared" si="0"/>
        <v>400871563.36000001</v>
      </c>
      <c r="G8" s="27"/>
      <c r="H8" s="27"/>
      <c r="I8" s="4"/>
      <c r="J8" s="5"/>
    </row>
    <row r="9" spans="1:10" s="3" customFormat="1" ht="24">
      <c r="A9" s="275" t="s">
        <v>195</v>
      </c>
      <c r="B9" s="491">
        <v>57409172.490000002</v>
      </c>
      <c r="C9" s="491">
        <v>50957</v>
      </c>
      <c r="D9" s="275"/>
      <c r="E9" s="277">
        <f t="shared" si="0"/>
        <v>57460129.490000002</v>
      </c>
      <c r="G9" s="27"/>
      <c r="H9" s="27"/>
      <c r="I9" s="4"/>
      <c r="J9" s="5"/>
    </row>
    <row r="10" spans="1:10" s="3" customFormat="1" ht="24">
      <c r="A10" s="275" t="s">
        <v>196</v>
      </c>
      <c r="B10" s="491">
        <v>658771634.94000006</v>
      </c>
      <c r="C10" s="491">
        <v>6447782.5</v>
      </c>
      <c r="D10" s="491">
        <v>4060</v>
      </c>
      <c r="E10" s="277">
        <f t="shared" si="0"/>
        <v>665223477.44000006</v>
      </c>
      <c r="G10" s="4"/>
      <c r="H10" s="4"/>
      <c r="I10" s="4"/>
      <c r="J10" s="5"/>
    </row>
    <row r="11" spans="1:10" s="3" customFormat="1" ht="24">
      <c r="A11" s="275" t="s">
        <v>226</v>
      </c>
      <c r="B11" s="491">
        <v>112946432.05</v>
      </c>
      <c r="C11" s="491">
        <v>129659619</v>
      </c>
      <c r="D11" s="491"/>
      <c r="E11" s="277">
        <f t="shared" si="0"/>
        <v>242606051.05000001</v>
      </c>
      <c r="G11" s="27"/>
      <c r="H11" s="27"/>
      <c r="I11" s="4"/>
      <c r="J11" s="5"/>
    </row>
    <row r="12" spans="1:10" s="3" customFormat="1" ht="24">
      <c r="A12" s="275" t="s">
        <v>187</v>
      </c>
      <c r="B12" s="491">
        <v>31644748.07</v>
      </c>
      <c r="C12" s="491">
        <v>62595</v>
      </c>
      <c r="D12" s="275"/>
      <c r="E12" s="277">
        <f t="shared" si="0"/>
        <v>31707343.07</v>
      </c>
      <c r="G12" s="27"/>
      <c r="H12" s="27"/>
      <c r="I12" s="4"/>
      <c r="J12" s="5"/>
    </row>
    <row r="13" spans="1:10" s="3" customFormat="1" ht="24">
      <c r="A13" s="275" t="s">
        <v>188</v>
      </c>
      <c r="B13" s="491">
        <v>17008.599999999999</v>
      </c>
      <c r="C13" s="491">
        <v>2622577.31</v>
      </c>
      <c r="D13" s="275"/>
      <c r="E13" s="276">
        <f t="shared" si="0"/>
        <v>2639585.91</v>
      </c>
      <c r="G13" s="27"/>
      <c r="H13" s="27"/>
      <c r="I13" s="4"/>
      <c r="J13" s="5"/>
    </row>
    <row r="14" spans="1:10" s="3" customFormat="1" ht="24">
      <c r="A14" s="275" t="s">
        <v>189</v>
      </c>
      <c r="B14" s="492">
        <v>61880134.079999998</v>
      </c>
      <c r="C14" s="492">
        <v>116935.36</v>
      </c>
      <c r="D14" s="493"/>
      <c r="E14" s="276">
        <f t="shared" si="0"/>
        <v>61997069.439999998</v>
      </c>
      <c r="G14" s="27"/>
      <c r="H14" s="27"/>
      <c r="I14" s="4"/>
      <c r="J14" s="5"/>
    </row>
    <row r="15" spans="1:10" s="8" customFormat="1" ht="24.75" thickBot="1">
      <c r="A15" s="278" t="s">
        <v>50</v>
      </c>
      <c r="B15" s="279">
        <f>SUM(B7:B14)</f>
        <v>2166004567.04</v>
      </c>
      <c r="C15" s="279">
        <f>SUM(C7:C14)</f>
        <v>144559791.28000003</v>
      </c>
      <c r="D15" s="279">
        <f>SUM(D7:D14)</f>
        <v>99371411.75</v>
      </c>
      <c r="E15" s="279">
        <f>SUM(E7:E14)</f>
        <v>2409935770.0700002</v>
      </c>
      <c r="G15" s="24"/>
      <c r="H15" s="24"/>
      <c r="I15" s="9"/>
    </row>
    <row r="16" spans="1:10" s="3" customFormat="1" ht="23.25" customHeight="1" thickTop="1">
      <c r="A16" s="8" t="s">
        <v>52</v>
      </c>
      <c r="B16" s="4"/>
      <c r="C16" s="4"/>
      <c r="D16" s="4"/>
      <c r="E16" s="4"/>
      <c r="G16" s="27"/>
      <c r="H16" s="27"/>
      <c r="I16" s="4"/>
    </row>
    <row r="17" spans="1:9" s="8" customFormat="1" ht="24">
      <c r="A17" s="8" t="s">
        <v>53</v>
      </c>
      <c r="C17" s="9"/>
      <c r="D17" s="9"/>
      <c r="E17" s="9">
        <v>2775106456.5799999</v>
      </c>
      <c r="G17" s="24"/>
      <c r="H17" s="24"/>
      <c r="I17" s="9"/>
    </row>
    <row r="18" spans="1:9" s="3" customFormat="1" ht="13.5" customHeight="1">
      <c r="C18" s="4"/>
      <c r="G18" s="27"/>
      <c r="H18" s="27"/>
      <c r="I18" s="4"/>
    </row>
    <row r="19" spans="1:9" s="231" customFormat="1" ht="20.25" customHeight="1">
      <c r="A19" s="240" t="s">
        <v>42</v>
      </c>
      <c r="B19" s="241"/>
      <c r="C19" s="242"/>
      <c r="D19" s="243"/>
      <c r="E19" s="230">
        <f>SUM(D20:D41)</f>
        <v>365170686.50999999</v>
      </c>
      <c r="G19" s="469"/>
      <c r="H19" s="469"/>
      <c r="I19" s="470"/>
    </row>
    <row r="20" spans="1:9" s="234" customFormat="1" ht="20.25" customHeight="1">
      <c r="A20" s="483" t="s">
        <v>234</v>
      </c>
      <c r="B20" s="401"/>
      <c r="C20" s="244"/>
      <c r="D20" s="489">
        <v>79157381.319999993</v>
      </c>
      <c r="E20" s="233"/>
      <c r="G20" s="471"/>
      <c r="H20" s="471"/>
      <c r="I20" s="472"/>
    </row>
    <row r="21" spans="1:9" s="234" customFormat="1" ht="20.25" customHeight="1">
      <c r="A21" s="483" t="s">
        <v>235</v>
      </c>
      <c r="B21" s="401"/>
      <c r="C21" s="244"/>
      <c r="D21" s="489">
        <v>54240</v>
      </c>
      <c r="E21" s="233"/>
      <c r="G21" s="471"/>
      <c r="H21" s="471"/>
      <c r="I21" s="472"/>
    </row>
    <row r="22" spans="1:9" s="234" customFormat="1" ht="20.25" customHeight="1">
      <c r="A22" s="483" t="s">
        <v>236</v>
      </c>
      <c r="B22" s="401"/>
      <c r="C22" s="244"/>
      <c r="D22" s="489">
        <v>516034.4</v>
      </c>
      <c r="G22" s="471"/>
      <c r="H22" s="471"/>
      <c r="I22" s="472"/>
    </row>
    <row r="23" spans="1:9" s="234" customFormat="1" ht="20.25" customHeight="1">
      <c r="A23" s="483" t="s">
        <v>237</v>
      </c>
      <c r="B23" s="401"/>
      <c r="C23" s="244"/>
      <c r="D23" s="489">
        <v>7491699.0899999999</v>
      </c>
      <c r="G23" s="471"/>
      <c r="H23" s="471"/>
      <c r="I23" s="472"/>
    </row>
    <row r="24" spans="1:9" s="234" customFormat="1" ht="20.25" customHeight="1">
      <c r="A24" s="483" t="s">
        <v>238</v>
      </c>
      <c r="B24" s="401"/>
      <c r="C24" s="244"/>
      <c r="D24" s="489">
        <v>3836671.4</v>
      </c>
      <c r="G24" s="471"/>
      <c r="H24" s="471"/>
      <c r="I24" s="472"/>
    </row>
    <row r="25" spans="1:9" s="234" customFormat="1" ht="20.25" customHeight="1">
      <c r="A25" s="483" t="s">
        <v>239</v>
      </c>
      <c r="B25" s="401"/>
      <c r="C25" s="244"/>
      <c r="D25" s="489">
        <v>1584394.45</v>
      </c>
      <c r="G25" s="471"/>
      <c r="H25" s="471"/>
      <c r="I25" s="472"/>
    </row>
    <row r="26" spans="1:9" s="234" customFormat="1" ht="20.25" customHeight="1">
      <c r="A26" s="483" t="s">
        <v>240</v>
      </c>
      <c r="B26" s="401"/>
      <c r="C26" s="244"/>
      <c r="D26" s="489">
        <v>8792128.1999999993</v>
      </c>
      <c r="E26" s="232"/>
      <c r="G26" s="471"/>
      <c r="H26" s="471"/>
      <c r="I26" s="472"/>
    </row>
    <row r="27" spans="1:9" s="236" customFormat="1" ht="20.25" customHeight="1">
      <c r="A27" s="483" t="s">
        <v>241</v>
      </c>
      <c r="B27" s="401"/>
      <c r="C27" s="244"/>
      <c r="D27" s="489">
        <v>404313.99</v>
      </c>
      <c r="E27" s="235"/>
      <c r="G27" s="473"/>
      <c r="H27" s="473"/>
      <c r="I27" s="474"/>
    </row>
    <row r="28" spans="1:9" s="238" customFormat="1" ht="20.25" customHeight="1">
      <c r="A28" s="483" t="s">
        <v>242</v>
      </c>
      <c r="B28" s="241"/>
      <c r="C28" s="242"/>
      <c r="D28" s="489">
        <v>15110993.119999999</v>
      </c>
      <c r="E28" s="237"/>
      <c r="G28" s="475"/>
      <c r="H28" s="475"/>
      <c r="I28" s="476"/>
    </row>
    <row r="29" spans="1:9" s="238" customFormat="1" ht="20.25" customHeight="1">
      <c r="A29" s="483"/>
      <c r="B29" s="241"/>
      <c r="C29" s="242"/>
      <c r="D29" s="484"/>
      <c r="E29" s="237"/>
      <c r="G29" s="475"/>
      <c r="H29" s="475"/>
      <c r="I29" s="476"/>
    </row>
    <row r="30" spans="1:9" s="238" customFormat="1" ht="20.25" customHeight="1">
      <c r="A30" s="483"/>
      <c r="B30" s="241"/>
      <c r="C30" s="242"/>
      <c r="D30" s="484"/>
      <c r="E30" s="237"/>
      <c r="G30" s="475"/>
      <c r="H30" s="475"/>
      <c r="I30" s="476"/>
    </row>
    <row r="31" spans="1:9" s="238" customFormat="1" ht="20.25" customHeight="1">
      <c r="A31" s="483"/>
      <c r="B31" s="241"/>
      <c r="C31" s="242"/>
      <c r="D31" s="484"/>
      <c r="E31" s="237"/>
      <c r="G31" s="475"/>
      <c r="H31" s="475"/>
      <c r="I31" s="476"/>
    </row>
    <row r="32" spans="1:9" s="236" customFormat="1" ht="20.25" customHeight="1">
      <c r="A32" s="483" t="s">
        <v>243</v>
      </c>
      <c r="B32" s="401"/>
      <c r="C32" s="244"/>
      <c r="D32" s="489">
        <v>489907.75</v>
      </c>
      <c r="E32" s="239"/>
      <c r="G32" s="473"/>
      <c r="H32" s="473"/>
      <c r="I32" s="474"/>
    </row>
    <row r="33" spans="1:9" s="236" customFormat="1" ht="20.25" customHeight="1">
      <c r="A33" s="483" t="s">
        <v>244</v>
      </c>
      <c r="B33" s="401"/>
      <c r="C33" s="244"/>
      <c r="D33" s="489">
        <v>9109440.3300000001</v>
      </c>
      <c r="E33" s="239"/>
      <c r="G33" s="473"/>
      <c r="H33" s="473"/>
      <c r="I33" s="474"/>
    </row>
    <row r="34" spans="1:9" s="282" customFormat="1" ht="20.25" customHeight="1">
      <c r="A34" s="483" t="s">
        <v>245</v>
      </c>
      <c r="B34" s="402"/>
      <c r="C34" s="280"/>
      <c r="D34" s="489">
        <v>3167102.83</v>
      </c>
      <c r="E34" s="281"/>
      <c r="G34" s="477"/>
      <c r="H34" s="477"/>
      <c r="I34" s="478"/>
    </row>
    <row r="35" spans="1:9" s="282" customFormat="1" ht="20.25" customHeight="1">
      <c r="A35" s="483" t="s">
        <v>246</v>
      </c>
      <c r="B35" s="402"/>
      <c r="C35" s="280"/>
      <c r="D35" s="484">
        <v>0</v>
      </c>
      <c r="E35" s="281"/>
      <c r="G35" s="477"/>
      <c r="H35" s="477"/>
      <c r="I35" s="478"/>
    </row>
    <row r="36" spans="1:9" s="282" customFormat="1" ht="20.25" customHeight="1">
      <c r="A36" s="483" t="s">
        <v>247</v>
      </c>
      <c r="B36" s="402"/>
      <c r="C36" s="280"/>
      <c r="D36" s="489">
        <v>37600</v>
      </c>
      <c r="E36" s="281"/>
      <c r="G36" s="477"/>
      <c r="H36" s="477"/>
      <c r="I36" s="478"/>
    </row>
    <row r="37" spans="1:9" s="282" customFormat="1" ht="20.25" customHeight="1">
      <c r="A37" s="483" t="s">
        <v>248</v>
      </c>
      <c r="B37" s="402"/>
      <c r="C37" s="280"/>
      <c r="D37" s="489">
        <v>25317163.75</v>
      </c>
      <c r="E37" s="281"/>
      <c r="G37" s="477"/>
      <c r="H37" s="477"/>
      <c r="I37" s="478"/>
    </row>
    <row r="38" spans="1:9" s="282" customFormat="1" ht="20.25" customHeight="1">
      <c r="A38" s="483" t="s">
        <v>249</v>
      </c>
      <c r="B38" s="402"/>
      <c r="C38" s="280"/>
      <c r="D38" s="489">
        <v>30384638.23</v>
      </c>
      <c r="E38" s="281"/>
      <c r="G38" s="477"/>
      <c r="H38" s="477"/>
      <c r="I38" s="478"/>
    </row>
    <row r="39" spans="1:9" s="282" customFormat="1" ht="20.25" customHeight="1">
      <c r="A39" s="483" t="s">
        <v>250</v>
      </c>
      <c r="B39" s="402"/>
      <c r="C39" s="280"/>
      <c r="D39" s="489">
        <v>9456708.6600000001</v>
      </c>
      <c r="E39" s="281"/>
      <c r="G39" s="477"/>
      <c r="H39" s="477"/>
      <c r="I39" s="478"/>
    </row>
    <row r="40" spans="1:9" s="282" customFormat="1" ht="20.25" customHeight="1">
      <c r="A40" s="483" t="s">
        <v>251</v>
      </c>
      <c r="B40" s="402"/>
      <c r="C40" s="280"/>
      <c r="D40" s="489">
        <v>34745804.75</v>
      </c>
      <c r="E40" s="281"/>
      <c r="G40" s="477"/>
      <c r="H40" s="477"/>
      <c r="I40" s="478"/>
    </row>
    <row r="41" spans="1:9" s="282" customFormat="1" ht="20.25" customHeight="1">
      <c r="A41" s="483" t="s">
        <v>252</v>
      </c>
      <c r="B41" s="402"/>
      <c r="C41" s="280"/>
      <c r="D41" s="489">
        <v>135514464.24000001</v>
      </c>
      <c r="E41" s="281"/>
      <c r="G41" s="477"/>
      <c r="H41" s="477"/>
      <c r="I41" s="478"/>
    </row>
    <row r="42" spans="1:9" s="8" customFormat="1" ht="20.25" customHeight="1">
      <c r="A42" s="283"/>
      <c r="B42" s="284"/>
      <c r="C42" s="285"/>
      <c r="D42" s="284"/>
      <c r="E42" s="28"/>
      <c r="G42" s="24"/>
      <c r="H42" s="24"/>
      <c r="I42" s="9"/>
    </row>
    <row r="43" spans="1:9" s="8" customFormat="1" ht="20.25" customHeight="1" thickBot="1">
      <c r="A43" s="97" t="s">
        <v>50</v>
      </c>
      <c r="C43" s="15"/>
      <c r="D43" s="28"/>
      <c r="E43" s="16">
        <f>SUM(E17-E19-E28)</f>
        <v>2409935770.0699997</v>
      </c>
      <c r="G43" s="24"/>
      <c r="H43" s="24"/>
      <c r="I43" s="9"/>
    </row>
    <row r="44" spans="1:9" s="3" customFormat="1" ht="24.75" thickTop="1">
      <c r="B44" s="53"/>
      <c r="C44" s="4"/>
      <c r="G44" s="27"/>
      <c r="H44" s="27"/>
      <c r="I44" s="4"/>
    </row>
    <row r="45" spans="1:9">
      <c r="B45" s="53"/>
      <c r="C45" s="7"/>
      <c r="D45" s="7"/>
      <c r="E45" s="41"/>
    </row>
    <row r="46" spans="1:9">
      <c r="B46" s="53"/>
      <c r="C46" s="7"/>
    </row>
    <row r="47" spans="1:9">
      <c r="B47" s="53"/>
      <c r="C47" s="7"/>
    </row>
    <row r="48" spans="1:9">
      <c r="B48" s="53"/>
      <c r="C48" s="7"/>
    </row>
    <row r="49" spans="2:3">
      <c r="B49" s="53"/>
      <c r="C49" s="7"/>
    </row>
    <row r="50" spans="2:3">
      <c r="B50" s="53"/>
      <c r="C50" s="7"/>
    </row>
  </sheetData>
  <mergeCells count="3">
    <mergeCell ref="A1:E1"/>
    <mergeCell ref="A2:E2"/>
    <mergeCell ref="A3:E3"/>
  </mergeCells>
  <pageMargins left="0.4" right="0.39370078740157483" top="0.23622047244094491" bottom="0.23622047244094491" header="0.15748031496062992" footer="0.15748031496062992"/>
  <pageSetup paperSize="9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FFFF00"/>
  </sheetPr>
  <dimension ref="A1:AA77"/>
  <sheetViews>
    <sheetView workbookViewId="0">
      <selection activeCell="A45" sqref="A45"/>
    </sheetView>
  </sheetViews>
  <sheetFormatPr defaultRowHeight="24"/>
  <cols>
    <col min="1" max="1" width="35.5703125" style="46" customWidth="1"/>
    <col min="2" max="2" width="25.140625" style="55" customWidth="1"/>
    <col min="3" max="3" width="17.85546875" style="55" customWidth="1"/>
    <col min="4" max="4" width="17.85546875" style="55" bestFit="1" customWidth="1"/>
    <col min="5" max="5" width="17.28515625" style="55" customWidth="1"/>
    <col min="6" max="6" width="17.7109375" style="55" customWidth="1"/>
    <col min="7" max="7" width="19.140625" style="132" bestFit="1" customWidth="1"/>
    <col min="8" max="8" width="17.5703125" style="55" customWidth="1"/>
    <col min="9" max="9" width="19.42578125" style="55" bestFit="1" customWidth="1"/>
    <col min="10" max="10" width="17.7109375" style="55" customWidth="1"/>
    <col min="11" max="11" width="16.28515625" style="55" customWidth="1"/>
    <col min="12" max="12" width="16.7109375" style="55" customWidth="1"/>
    <col min="13" max="13" width="23" style="101" customWidth="1"/>
    <col min="14" max="14" width="22" style="55" customWidth="1"/>
    <col min="15" max="15" width="16.85546875" style="32" bestFit="1" customWidth="1"/>
    <col min="16" max="16" width="18.28515625" style="32" bestFit="1" customWidth="1"/>
    <col min="17" max="17" width="14.42578125" style="32" customWidth="1"/>
    <col min="18" max="19" width="18.28515625" style="12" bestFit="1" customWidth="1"/>
    <col min="20" max="20" width="14.28515625" style="12" bestFit="1" customWidth="1"/>
    <col min="21" max="27" width="9.140625" style="12"/>
    <col min="28" max="16384" width="9.140625" style="26"/>
  </cols>
  <sheetData>
    <row r="1" spans="1:27" s="497" customFormat="1" ht="27.75">
      <c r="A1" s="584" t="s">
        <v>177</v>
      </c>
      <c r="B1" s="584"/>
      <c r="C1" s="584"/>
      <c r="D1" s="584"/>
      <c r="E1" s="584"/>
      <c r="F1" s="584"/>
      <c r="G1" s="584"/>
      <c r="H1" s="584"/>
      <c r="I1" s="584"/>
      <c r="J1" s="584"/>
      <c r="K1" s="584"/>
      <c r="L1" s="584"/>
      <c r="M1" s="584"/>
      <c r="N1" s="584"/>
      <c r="O1" s="496"/>
      <c r="P1" s="496"/>
      <c r="Q1" s="496"/>
    </row>
    <row r="2" spans="1:27" s="497" customFormat="1" ht="27.75">
      <c r="A2" s="584" t="s">
        <v>253</v>
      </c>
      <c r="B2" s="584"/>
      <c r="C2" s="584"/>
      <c r="D2" s="584"/>
      <c r="E2" s="584"/>
      <c r="F2" s="584"/>
      <c r="G2" s="584"/>
      <c r="H2" s="584"/>
      <c r="I2" s="584"/>
      <c r="J2" s="584"/>
      <c r="K2" s="584"/>
      <c r="L2" s="584"/>
      <c r="M2" s="584"/>
      <c r="N2" s="584"/>
      <c r="O2" s="496"/>
      <c r="P2" s="496"/>
      <c r="Q2" s="496"/>
    </row>
    <row r="3" spans="1:27" s="497" customFormat="1" ht="27.75">
      <c r="A3" s="584" t="s">
        <v>277</v>
      </c>
      <c r="B3" s="584"/>
      <c r="C3" s="584"/>
      <c r="D3" s="584"/>
      <c r="E3" s="584"/>
      <c r="F3" s="584"/>
      <c r="G3" s="584"/>
      <c r="H3" s="584"/>
      <c r="I3" s="584"/>
      <c r="J3" s="584"/>
      <c r="K3" s="584"/>
      <c r="L3" s="584"/>
      <c r="M3" s="584"/>
      <c r="N3" s="584"/>
      <c r="O3" s="496"/>
      <c r="P3" s="496"/>
      <c r="Q3" s="496"/>
    </row>
    <row r="4" spans="1:27" s="497" customFormat="1" ht="27.75">
      <c r="A4" s="498" t="s">
        <v>197</v>
      </c>
      <c r="B4" s="463"/>
      <c r="C4" s="463"/>
      <c r="D4" s="463"/>
      <c r="E4" s="463"/>
      <c r="F4" s="463"/>
      <c r="G4" s="213"/>
      <c r="H4" s="463"/>
      <c r="I4" s="463"/>
      <c r="J4" s="463"/>
      <c r="K4" s="463"/>
      <c r="L4" s="463"/>
      <c r="M4" s="463"/>
      <c r="N4" s="463"/>
      <c r="O4" s="496"/>
      <c r="P4" s="496"/>
      <c r="Q4" s="496"/>
    </row>
    <row r="5" spans="1:27" s="21" customFormat="1">
      <c r="A5" s="43"/>
      <c r="B5" s="101"/>
      <c r="C5" s="101"/>
      <c r="D5" s="101"/>
      <c r="E5" s="101"/>
      <c r="F5" s="101"/>
      <c r="G5" s="137"/>
      <c r="H5" s="101"/>
      <c r="I5" s="101"/>
      <c r="J5" s="101"/>
      <c r="K5" s="101"/>
      <c r="L5" s="101"/>
      <c r="M5" s="585" t="s">
        <v>59</v>
      </c>
      <c r="N5" s="585"/>
      <c r="O5" s="11"/>
      <c r="P5" s="11"/>
      <c r="Q5" s="11"/>
      <c r="R5" s="10"/>
      <c r="S5" s="10"/>
      <c r="T5" s="10"/>
      <c r="U5" s="10"/>
      <c r="V5" s="10"/>
      <c r="W5" s="10"/>
      <c r="X5" s="10"/>
      <c r="Y5" s="10"/>
      <c r="Z5" s="10"/>
      <c r="AA5" s="10"/>
    </row>
    <row r="6" spans="1:27" s="21" customFormat="1">
      <c r="A6" s="48"/>
      <c r="B6" s="586" t="s">
        <v>54</v>
      </c>
      <c r="C6" s="587"/>
      <c r="D6" s="587"/>
      <c r="E6" s="587"/>
      <c r="F6" s="587"/>
      <c r="G6" s="588"/>
      <c r="H6" s="589" t="s">
        <v>55</v>
      </c>
      <c r="I6" s="590"/>
      <c r="J6" s="590"/>
      <c r="K6" s="590"/>
      <c r="L6" s="590"/>
      <c r="M6" s="591"/>
      <c r="N6" s="336"/>
      <c r="O6" s="11"/>
      <c r="P6" s="11"/>
      <c r="Q6" s="11"/>
      <c r="R6" s="10"/>
      <c r="S6" s="10"/>
      <c r="T6" s="10"/>
      <c r="U6" s="10"/>
      <c r="V6" s="10"/>
      <c r="W6" s="10"/>
      <c r="X6" s="10"/>
      <c r="Y6" s="10"/>
      <c r="Z6" s="10"/>
      <c r="AA6" s="10"/>
    </row>
    <row r="7" spans="1:27" s="39" customFormat="1">
      <c r="A7" s="23" t="s">
        <v>56</v>
      </c>
      <c r="B7" s="172" t="s">
        <v>194</v>
      </c>
      <c r="C7" s="172" t="s">
        <v>114</v>
      </c>
      <c r="D7" s="172" t="s">
        <v>109</v>
      </c>
      <c r="E7" s="172" t="s">
        <v>193</v>
      </c>
      <c r="F7" s="403" t="s">
        <v>111</v>
      </c>
      <c r="G7" s="171" t="s">
        <v>47</v>
      </c>
      <c r="H7" s="172" t="s">
        <v>109</v>
      </c>
      <c r="I7" s="172" t="s">
        <v>194</v>
      </c>
      <c r="J7" s="172" t="s">
        <v>114</v>
      </c>
      <c r="K7" s="172" t="s">
        <v>193</v>
      </c>
      <c r="L7" s="403" t="s">
        <v>111</v>
      </c>
      <c r="M7" s="172" t="s">
        <v>47</v>
      </c>
      <c r="N7" s="172" t="s">
        <v>47</v>
      </c>
      <c r="O7" s="49"/>
      <c r="P7" s="49"/>
      <c r="Q7" s="49"/>
      <c r="R7" s="50"/>
      <c r="S7" s="50"/>
      <c r="T7" s="50"/>
      <c r="U7" s="50"/>
      <c r="V7" s="50"/>
      <c r="W7" s="50"/>
      <c r="X7" s="50"/>
      <c r="Y7" s="50"/>
      <c r="Z7" s="50"/>
      <c r="AA7" s="50"/>
    </row>
    <row r="8" spans="1:27" s="21" customFormat="1">
      <c r="A8" s="245"/>
      <c r="B8" s="172" t="s">
        <v>199</v>
      </c>
      <c r="C8" s="172" t="s">
        <v>227</v>
      </c>
      <c r="D8" s="54"/>
      <c r="E8" s="174"/>
      <c r="F8" s="174"/>
      <c r="G8" s="351"/>
      <c r="H8" s="54"/>
      <c r="I8" s="172" t="s">
        <v>199</v>
      </c>
      <c r="J8" s="172" t="s">
        <v>227</v>
      </c>
      <c r="K8" s="174"/>
      <c r="L8" s="174"/>
      <c r="M8" s="174"/>
      <c r="N8" s="174"/>
      <c r="O8" s="30"/>
      <c r="P8" s="30"/>
      <c r="Q8" s="30"/>
      <c r="R8" s="52"/>
      <c r="S8" s="52"/>
      <c r="T8" s="52"/>
      <c r="U8" s="10"/>
      <c r="V8" s="10"/>
      <c r="W8" s="10"/>
      <c r="X8" s="10"/>
      <c r="Y8" s="10"/>
      <c r="Z8" s="10"/>
      <c r="AA8" s="10"/>
    </row>
    <row r="9" spans="1:27" s="21" customFormat="1">
      <c r="A9" s="51"/>
      <c r="B9" s="404" t="s">
        <v>198</v>
      </c>
      <c r="C9" s="404"/>
      <c r="D9" s="405"/>
      <c r="E9" s="188"/>
      <c r="F9" s="188"/>
      <c r="G9" s="188"/>
      <c r="H9" s="405"/>
      <c r="I9" s="404" t="s">
        <v>198</v>
      </c>
      <c r="J9" s="404"/>
      <c r="K9" s="188"/>
      <c r="L9" s="188"/>
      <c r="M9" s="188"/>
      <c r="N9" s="188"/>
      <c r="O9" s="30"/>
      <c r="P9" s="30"/>
      <c r="Q9" s="30"/>
      <c r="R9" s="52"/>
      <c r="S9" s="52"/>
      <c r="T9" s="52"/>
      <c r="U9" s="10"/>
      <c r="V9" s="10"/>
      <c r="W9" s="10"/>
      <c r="X9" s="10"/>
      <c r="Y9" s="10"/>
      <c r="Z9" s="10"/>
      <c r="AA9" s="10"/>
    </row>
    <row r="10" spans="1:27" s="21" customFormat="1">
      <c r="A10" s="286" t="s">
        <v>57</v>
      </c>
      <c r="B10" s="333">
        <f>+B11+B13+B15+B17+B19+B20</f>
        <v>866570644.63</v>
      </c>
      <c r="C10" s="333">
        <f t="shared" ref="C10:G10" si="0">+C11+C13+C15+C17+C19+C20</f>
        <v>225394640.58000001</v>
      </c>
      <c r="D10" s="333">
        <f t="shared" si="0"/>
        <v>20710918.82</v>
      </c>
      <c r="E10" s="333">
        <f t="shared" si="0"/>
        <v>30689326.32</v>
      </c>
      <c r="F10" s="333">
        <f t="shared" si="0"/>
        <v>61997069.439999998</v>
      </c>
      <c r="G10" s="333">
        <f t="shared" si="0"/>
        <v>1205362599.79</v>
      </c>
      <c r="H10" s="333">
        <f t="shared" ref="H10" si="1">+H11+H13+H15+H17+H19+H20</f>
        <v>757981420.63999999</v>
      </c>
      <c r="I10" s="333">
        <f t="shared" ref="I10" si="2">+I11+I13+I15+I17+I19+I20</f>
        <v>3590278.64</v>
      </c>
      <c r="J10" s="333">
        <f t="shared" ref="J10" si="3">+J11+J13+J15+J17+J19+J20</f>
        <v>1407222.3399999999</v>
      </c>
      <c r="K10" s="333">
        <f t="shared" ref="K10" si="4">+K11+K13+K15+K17+K19+K20</f>
        <v>0</v>
      </c>
      <c r="L10" s="333">
        <f t="shared" ref="L10" si="5">+L11+L13+L15+L17+L19+L20</f>
        <v>0</v>
      </c>
      <c r="M10" s="333">
        <f t="shared" ref="M10" si="6">+M11+M13+M15+M17+M19+M20</f>
        <v>762978921.61999989</v>
      </c>
      <c r="N10" s="333">
        <f>+N11+N13+N15+N17+N19+N20</f>
        <v>1968341521.4099998</v>
      </c>
      <c r="O10" s="24"/>
      <c r="P10" s="24"/>
      <c r="Q10" s="24"/>
      <c r="R10" s="24"/>
      <c r="S10" s="24"/>
    </row>
    <row r="11" spans="1:27">
      <c r="A11" s="288" t="s">
        <v>97</v>
      </c>
      <c r="B11" s="289">
        <v>272041369.60000002</v>
      </c>
      <c r="C11" s="479">
        <v>54080777.130000003</v>
      </c>
      <c r="D11" s="289">
        <v>7970034.25</v>
      </c>
      <c r="E11" s="289">
        <v>12182971</v>
      </c>
      <c r="F11" s="289">
        <v>23810995.469999999</v>
      </c>
      <c r="G11" s="337">
        <f>SUM(B11:F11)</f>
        <v>370086147.45000005</v>
      </c>
      <c r="H11" s="289">
        <v>284767474.77999997</v>
      </c>
      <c r="I11" s="289">
        <v>232217.09</v>
      </c>
      <c r="J11" s="289">
        <v>0</v>
      </c>
      <c r="K11" s="289">
        <v>0</v>
      </c>
      <c r="L11" s="293">
        <v>0</v>
      </c>
      <c r="M11" s="336">
        <f>SUM(H11:L11)</f>
        <v>284999691.86999995</v>
      </c>
      <c r="N11" s="336">
        <f>SUM(G11+M11)</f>
        <v>655085839.31999993</v>
      </c>
      <c r="O11" s="27"/>
      <c r="P11" s="27"/>
      <c r="Q11" s="27"/>
      <c r="R11" s="26"/>
      <c r="S11" s="26"/>
      <c r="T11" s="26"/>
      <c r="U11" s="26"/>
      <c r="V11" s="26"/>
      <c r="W11" s="26"/>
      <c r="X11" s="26"/>
      <c r="Y11" s="26"/>
      <c r="Z11" s="26"/>
      <c r="AA11" s="26"/>
    </row>
    <row r="12" spans="1:27">
      <c r="A12" s="45" t="s">
        <v>100</v>
      </c>
      <c r="B12" s="103"/>
      <c r="C12" s="103"/>
      <c r="D12" s="103"/>
      <c r="E12" s="103"/>
      <c r="F12" s="103"/>
      <c r="G12" s="340"/>
      <c r="H12" s="103"/>
      <c r="I12" s="103"/>
      <c r="J12" s="103"/>
      <c r="K12" s="103"/>
      <c r="L12" s="103"/>
      <c r="M12" s="340"/>
      <c r="N12" s="340"/>
      <c r="O12" s="27"/>
      <c r="P12" s="27"/>
      <c r="Q12" s="27"/>
      <c r="R12" s="27"/>
      <c r="S12" s="26"/>
      <c r="T12" s="26"/>
      <c r="U12" s="26"/>
      <c r="V12" s="26"/>
      <c r="W12" s="26"/>
      <c r="X12" s="26"/>
      <c r="Y12" s="26"/>
      <c r="Z12" s="26"/>
      <c r="AA12" s="26"/>
    </row>
    <row r="13" spans="1:27">
      <c r="A13" s="290" t="s">
        <v>98</v>
      </c>
      <c r="B13" s="313">
        <v>553561346.86000001</v>
      </c>
      <c r="C13" s="313">
        <v>164167627.37</v>
      </c>
      <c r="D13" s="55">
        <v>12061784.32</v>
      </c>
      <c r="E13" s="313">
        <v>18506355.32</v>
      </c>
      <c r="F13" s="313">
        <v>38186073.969999999</v>
      </c>
      <c r="G13" s="351">
        <f>SUM(B13:F13)</f>
        <v>786483187.84000015</v>
      </c>
      <c r="H13" s="313">
        <v>456945745.44999999</v>
      </c>
      <c r="I13" s="293">
        <v>418053.54</v>
      </c>
      <c r="J13" s="293">
        <v>0</v>
      </c>
      <c r="K13" s="293">
        <v>0</v>
      </c>
      <c r="L13" s="293">
        <v>0</v>
      </c>
      <c r="M13" s="344">
        <f>SUM(H13:L13)</f>
        <v>457363798.99000001</v>
      </c>
      <c r="N13" s="344">
        <f>SUM(G13+M13)</f>
        <v>1243846986.8300002</v>
      </c>
      <c r="O13" s="27"/>
      <c r="P13" s="27"/>
      <c r="Q13" s="27"/>
      <c r="R13" s="27"/>
      <c r="S13" s="27"/>
      <c r="T13" s="26"/>
      <c r="U13" s="26"/>
      <c r="V13" s="26"/>
      <c r="W13" s="26"/>
      <c r="X13" s="26"/>
      <c r="Y13" s="26"/>
      <c r="Z13" s="26"/>
      <c r="AA13" s="26"/>
    </row>
    <row r="14" spans="1:27">
      <c r="A14" s="45" t="s">
        <v>192</v>
      </c>
      <c r="B14" s="103"/>
      <c r="C14" s="103"/>
      <c r="D14" s="103"/>
      <c r="E14" s="103"/>
      <c r="F14" s="103"/>
      <c r="G14" s="340"/>
      <c r="H14" s="103"/>
      <c r="I14" s="103"/>
      <c r="J14" s="103"/>
      <c r="K14" s="103"/>
      <c r="L14" s="103"/>
      <c r="M14" s="340"/>
      <c r="N14" s="340"/>
      <c r="O14" s="27"/>
      <c r="P14" s="27"/>
      <c r="Q14" s="27"/>
      <c r="R14" s="26"/>
      <c r="S14" s="26"/>
      <c r="T14" s="26"/>
      <c r="U14" s="26"/>
      <c r="V14" s="26"/>
      <c r="W14" s="26"/>
      <c r="X14" s="26"/>
      <c r="Y14" s="26"/>
      <c r="Z14" s="26"/>
      <c r="AA14" s="26"/>
    </row>
    <row r="15" spans="1:27">
      <c r="A15" s="291" t="s">
        <v>99</v>
      </c>
      <c r="B15" s="293">
        <v>30977298.41</v>
      </c>
      <c r="C15" s="293">
        <v>6684112.1200000001</v>
      </c>
      <c r="D15" s="293">
        <v>204004</v>
      </c>
      <c r="E15" s="293">
        <v>0</v>
      </c>
      <c r="F15" s="293">
        <v>0</v>
      </c>
      <c r="G15" s="345">
        <f>SUM(B15:F15)</f>
        <v>37865414.530000001</v>
      </c>
      <c r="H15" s="293">
        <v>4623849.49</v>
      </c>
      <c r="I15" s="293">
        <v>6581.05</v>
      </c>
      <c r="J15" s="293">
        <v>0</v>
      </c>
      <c r="K15" s="293">
        <v>0</v>
      </c>
      <c r="L15" s="293">
        <v>0</v>
      </c>
      <c r="M15" s="344">
        <f>SUM(H15:L15)</f>
        <v>4630430.54</v>
      </c>
      <c r="N15" s="344">
        <f>SUM(G15+M15)</f>
        <v>42495845.07</v>
      </c>
      <c r="O15" s="27"/>
      <c r="P15" s="27"/>
      <c r="Q15" s="27"/>
      <c r="R15" s="26"/>
      <c r="S15" s="26"/>
      <c r="T15" s="26"/>
      <c r="U15" s="26"/>
      <c r="V15" s="26"/>
      <c r="W15" s="26"/>
      <c r="X15" s="26"/>
      <c r="Y15" s="26"/>
      <c r="Z15" s="26"/>
      <c r="AA15" s="26"/>
    </row>
    <row r="16" spans="1:27">
      <c r="A16" s="45" t="s">
        <v>101</v>
      </c>
      <c r="B16" s="103"/>
      <c r="C16" s="103"/>
      <c r="D16" s="103"/>
      <c r="E16" s="103"/>
      <c r="F16" s="103"/>
      <c r="G16" s="340"/>
      <c r="H16" s="103"/>
      <c r="I16" s="103"/>
      <c r="J16" s="103"/>
      <c r="K16" s="103"/>
      <c r="L16" s="103"/>
      <c r="M16" s="340"/>
      <c r="N16" s="340"/>
      <c r="O16" s="27"/>
      <c r="P16" s="27"/>
      <c r="Q16" s="27"/>
      <c r="R16" s="26"/>
      <c r="S16" s="26"/>
      <c r="T16" s="26"/>
      <c r="U16" s="26"/>
      <c r="V16" s="26"/>
      <c r="W16" s="26"/>
      <c r="X16" s="26"/>
      <c r="Y16" s="26"/>
      <c r="Z16" s="26"/>
      <c r="AA16" s="26"/>
    </row>
    <row r="17" spans="1:27" s="132" customFormat="1">
      <c r="A17" s="494" t="s">
        <v>278</v>
      </c>
      <c r="B17" s="293">
        <v>225928.14</v>
      </c>
      <c r="C17" s="293">
        <v>1068.18</v>
      </c>
      <c r="D17" s="293">
        <v>82100</v>
      </c>
      <c r="E17" s="293">
        <v>0</v>
      </c>
      <c r="F17" s="293">
        <v>0</v>
      </c>
      <c r="G17" s="345">
        <f>SUM(B17:F17)</f>
        <v>309096.32000000001</v>
      </c>
      <c r="H17" s="293">
        <v>2663100.87</v>
      </c>
      <c r="I17" s="293">
        <v>1566.92</v>
      </c>
      <c r="J17" s="293">
        <v>0</v>
      </c>
      <c r="K17" s="293">
        <v>0</v>
      </c>
      <c r="L17" s="293">
        <v>0</v>
      </c>
      <c r="M17" s="344">
        <f>SUM(H17:L17)</f>
        <v>2664667.79</v>
      </c>
      <c r="N17" s="344">
        <f>SUM(G17+M17)</f>
        <v>2973764.11</v>
      </c>
      <c r="O17" s="55"/>
      <c r="P17" s="55"/>
      <c r="Q17" s="55"/>
    </row>
    <row r="18" spans="1:27" s="132" customFormat="1">
      <c r="A18" s="339" t="s">
        <v>279</v>
      </c>
      <c r="B18" s="103"/>
      <c r="C18" s="103"/>
      <c r="D18" s="103"/>
      <c r="E18" s="103"/>
      <c r="F18" s="103"/>
      <c r="G18" s="354"/>
      <c r="H18" s="103"/>
      <c r="I18" s="103"/>
      <c r="J18" s="103"/>
      <c r="K18" s="103"/>
      <c r="L18" s="103"/>
      <c r="M18" s="174">
        <f t="shared" ref="M18:M20" si="7">SUM(H18:L18)</f>
        <v>0</v>
      </c>
      <c r="N18" s="174">
        <f t="shared" ref="N18:N20" si="8">SUM(G18+M18)</f>
        <v>0</v>
      </c>
      <c r="O18" s="55"/>
      <c r="P18" s="55"/>
      <c r="Q18" s="55"/>
    </row>
    <row r="19" spans="1:27" s="132" customFormat="1">
      <c r="A19" s="501" t="s">
        <v>284</v>
      </c>
      <c r="B19" s="98">
        <v>4720441.63</v>
      </c>
      <c r="C19" s="98">
        <v>182017.16</v>
      </c>
      <c r="D19" s="98">
        <v>321234.25</v>
      </c>
      <c r="E19" s="98">
        <v>0</v>
      </c>
      <c r="F19" s="98">
        <v>0</v>
      </c>
      <c r="G19" s="349">
        <f t="shared" ref="G19:G20" si="9">SUM(B19:F19)</f>
        <v>5223693.04</v>
      </c>
      <c r="H19" s="98">
        <v>4597712.04</v>
      </c>
      <c r="I19" s="98">
        <v>1142329.8400000001</v>
      </c>
      <c r="J19" s="98">
        <v>634052.09</v>
      </c>
      <c r="K19" s="98">
        <v>0</v>
      </c>
      <c r="L19" s="98">
        <v>0</v>
      </c>
      <c r="M19" s="164">
        <f t="shared" si="7"/>
        <v>6374093.9699999997</v>
      </c>
      <c r="N19" s="164">
        <f t="shared" si="8"/>
        <v>11597787.01</v>
      </c>
      <c r="O19" s="55"/>
      <c r="P19" s="55"/>
      <c r="Q19" s="55"/>
    </row>
    <row r="20" spans="1:27" s="132" customFormat="1">
      <c r="A20" s="357" t="s">
        <v>293</v>
      </c>
      <c r="B20" s="98">
        <v>5044259.99</v>
      </c>
      <c r="C20" s="98">
        <v>279038.62</v>
      </c>
      <c r="D20" s="98">
        <v>71762</v>
      </c>
      <c r="E20" s="98">
        <v>0</v>
      </c>
      <c r="F20" s="98">
        <v>0</v>
      </c>
      <c r="G20" s="349">
        <f t="shared" si="9"/>
        <v>5395060.6100000003</v>
      </c>
      <c r="H20" s="98">
        <v>4383538.01</v>
      </c>
      <c r="I20" s="98">
        <v>1789530.2</v>
      </c>
      <c r="J20" s="98">
        <v>773170.25</v>
      </c>
      <c r="K20" s="98">
        <v>0</v>
      </c>
      <c r="L20" s="98">
        <v>0</v>
      </c>
      <c r="M20" s="164">
        <f t="shared" si="7"/>
        <v>6946238.46</v>
      </c>
      <c r="N20" s="164">
        <f t="shared" si="8"/>
        <v>12341299.07</v>
      </c>
      <c r="O20" s="55"/>
      <c r="P20" s="55"/>
      <c r="Q20" s="55"/>
    </row>
    <row r="21" spans="1:27" s="132" customFormat="1">
      <c r="A21" s="350"/>
      <c r="B21" s="313"/>
      <c r="C21" s="313"/>
      <c r="D21" s="313"/>
      <c r="E21" s="313"/>
      <c r="F21" s="313"/>
      <c r="G21" s="175"/>
      <c r="H21" s="313"/>
      <c r="I21" s="313"/>
      <c r="J21" s="313"/>
      <c r="K21" s="313"/>
      <c r="L21" s="313"/>
      <c r="M21" s="174"/>
      <c r="N21" s="174"/>
      <c r="O21" s="55"/>
      <c r="P21" s="55"/>
      <c r="Q21" s="55"/>
    </row>
    <row r="22" spans="1:27" s="21" customFormat="1">
      <c r="A22" s="51" t="s">
        <v>58</v>
      </c>
      <c r="B22" s="188">
        <f>SUM(B23:B38)</f>
        <v>233788094.87</v>
      </c>
      <c r="C22" s="188">
        <f>SUM(C23:C38)</f>
        <v>10288101.26</v>
      </c>
      <c r="D22" s="188">
        <f>SUM(D23:D38)</f>
        <v>6044652.75</v>
      </c>
      <c r="E22" s="188">
        <f>SUM(E23:E38)</f>
        <v>1018016.75</v>
      </c>
      <c r="F22" s="188">
        <f>SUM(F23:F38)</f>
        <v>0</v>
      </c>
      <c r="G22" s="188">
        <f t="shared" ref="G22:N22" si="10">SUM(G23:G38)</f>
        <v>251138865.62999997</v>
      </c>
      <c r="H22" s="188">
        <f t="shared" si="10"/>
        <v>162693558.09999999</v>
      </c>
      <c r="I22" s="188">
        <f t="shared" si="10"/>
        <v>19606152.150000002</v>
      </c>
      <c r="J22" s="188">
        <f>SUM(J23:J38)</f>
        <v>8155672.7799999984</v>
      </c>
      <c r="K22" s="188">
        <f t="shared" si="10"/>
        <v>0</v>
      </c>
      <c r="L22" s="188">
        <f t="shared" si="10"/>
        <v>0</v>
      </c>
      <c r="M22" s="188">
        <f t="shared" si="10"/>
        <v>190455383.03</v>
      </c>
      <c r="N22" s="188">
        <f t="shared" si="10"/>
        <v>441594248.65999997</v>
      </c>
      <c r="O22" s="24"/>
      <c r="P22" s="24"/>
      <c r="Q22" s="24"/>
    </row>
    <row r="23" spans="1:27" s="21" customFormat="1">
      <c r="A23" s="353" t="s">
        <v>102</v>
      </c>
      <c r="B23" s="103">
        <v>2697184.56</v>
      </c>
      <c r="C23" s="103">
        <v>366917.96</v>
      </c>
      <c r="D23" s="103">
        <v>531685</v>
      </c>
      <c r="E23" s="103">
        <v>0</v>
      </c>
      <c r="F23" s="103">
        <v>0</v>
      </c>
      <c r="G23" s="354">
        <f t="shared" ref="G23:G37" si="11">SUM(B23:F23)</f>
        <v>3595787.52</v>
      </c>
      <c r="H23" s="103">
        <v>5300089.42</v>
      </c>
      <c r="I23" s="103">
        <v>188371.61</v>
      </c>
      <c r="J23" s="103">
        <v>81386.34</v>
      </c>
      <c r="K23" s="103">
        <v>0</v>
      </c>
      <c r="L23" s="103">
        <v>0</v>
      </c>
      <c r="M23" s="340">
        <f t="shared" ref="M23:M30" si="12">SUM(H23:L23)</f>
        <v>5569847.3700000001</v>
      </c>
      <c r="N23" s="340">
        <f t="shared" ref="N23:N37" si="13">SUM(G23+M23)</f>
        <v>9165634.8900000006</v>
      </c>
      <c r="O23" s="24"/>
      <c r="P23" s="24"/>
      <c r="Q23" s="24"/>
    </row>
    <row r="24" spans="1:27" s="21" customFormat="1">
      <c r="A24" s="357" t="s">
        <v>103</v>
      </c>
      <c r="B24" s="98">
        <v>3086822.91</v>
      </c>
      <c r="C24" s="98">
        <v>105533.43</v>
      </c>
      <c r="D24" s="406">
        <v>181593.5</v>
      </c>
      <c r="E24" s="98">
        <v>0</v>
      </c>
      <c r="F24" s="98">
        <v>0</v>
      </c>
      <c r="G24" s="349">
        <f t="shared" si="11"/>
        <v>3373949.8400000003</v>
      </c>
      <c r="H24" s="98">
        <v>5179740.24</v>
      </c>
      <c r="I24" s="98">
        <v>423836.12</v>
      </c>
      <c r="J24" s="98">
        <v>183119.27</v>
      </c>
      <c r="K24" s="98">
        <v>0</v>
      </c>
      <c r="L24" s="98">
        <v>0</v>
      </c>
      <c r="M24" s="164">
        <f t="shared" si="12"/>
        <v>5786695.6299999999</v>
      </c>
      <c r="N24" s="164">
        <f t="shared" si="13"/>
        <v>9160645.4700000007</v>
      </c>
      <c r="O24" s="24"/>
      <c r="P24" s="24"/>
      <c r="Q24" s="24"/>
    </row>
    <row r="25" spans="1:27" s="21" customFormat="1">
      <c r="A25" s="357" t="s">
        <v>104</v>
      </c>
      <c r="B25" s="98">
        <v>15817135.33</v>
      </c>
      <c r="C25" s="98">
        <v>556236.78</v>
      </c>
      <c r="D25" s="98">
        <v>661245.5</v>
      </c>
      <c r="E25" s="98">
        <v>0</v>
      </c>
      <c r="F25" s="98">
        <v>0</v>
      </c>
      <c r="G25" s="349">
        <f t="shared" si="11"/>
        <v>17034617.609999999</v>
      </c>
      <c r="H25" s="98">
        <v>17294575.949999999</v>
      </c>
      <c r="I25" s="98">
        <v>2828489.83</v>
      </c>
      <c r="J25" s="98">
        <v>1058022.44</v>
      </c>
      <c r="K25" s="98">
        <v>0</v>
      </c>
      <c r="L25" s="98">
        <v>0</v>
      </c>
      <c r="M25" s="164">
        <f t="shared" si="12"/>
        <v>21181088.220000003</v>
      </c>
      <c r="N25" s="164">
        <f t="shared" si="13"/>
        <v>38215705.829999998</v>
      </c>
      <c r="O25" s="24"/>
      <c r="P25" s="24"/>
      <c r="Q25" s="24"/>
    </row>
    <row r="26" spans="1:27" s="21" customFormat="1">
      <c r="A26" s="357" t="s">
        <v>105</v>
      </c>
      <c r="B26" s="98">
        <v>4222627.0599999996</v>
      </c>
      <c r="C26" s="98">
        <v>6047480.8700000001</v>
      </c>
      <c r="D26" s="406">
        <v>409583.75</v>
      </c>
      <c r="E26" s="98">
        <v>0</v>
      </c>
      <c r="F26" s="98">
        <v>0</v>
      </c>
      <c r="G26" s="349">
        <f t="shared" si="11"/>
        <v>10679691.68</v>
      </c>
      <c r="H26" s="98">
        <v>15560799.59</v>
      </c>
      <c r="I26" s="98">
        <v>894765.12</v>
      </c>
      <c r="J26" s="98">
        <v>386585.13</v>
      </c>
      <c r="K26" s="98">
        <v>0</v>
      </c>
      <c r="L26" s="98">
        <v>0</v>
      </c>
      <c r="M26" s="164">
        <f t="shared" si="12"/>
        <v>16842149.84</v>
      </c>
      <c r="N26" s="164">
        <f t="shared" si="13"/>
        <v>27521841.52</v>
      </c>
      <c r="O26" s="24"/>
      <c r="P26" s="24"/>
      <c r="Q26" s="24"/>
    </row>
    <row r="27" spans="1:27" s="21" customFormat="1">
      <c r="A27" s="359" t="s">
        <v>2</v>
      </c>
      <c r="B27" s="293">
        <v>18207361.530000001</v>
      </c>
      <c r="C27" s="293">
        <v>192634.82</v>
      </c>
      <c r="D27" s="293">
        <v>237252.75</v>
      </c>
      <c r="E27" s="293">
        <v>0</v>
      </c>
      <c r="F27" s="293">
        <v>0</v>
      </c>
      <c r="G27" s="344">
        <f t="shared" si="11"/>
        <v>18637249.100000001</v>
      </c>
      <c r="H27" s="293">
        <v>11842717.029999999</v>
      </c>
      <c r="I27" s="293">
        <v>1554065.73</v>
      </c>
      <c r="J27" s="293">
        <v>671437.31</v>
      </c>
      <c r="K27" s="293">
        <v>0</v>
      </c>
      <c r="L27" s="293">
        <v>0</v>
      </c>
      <c r="M27" s="344">
        <f t="shared" si="12"/>
        <v>14068220.07</v>
      </c>
      <c r="N27" s="344">
        <f t="shared" si="13"/>
        <v>32705469.170000002</v>
      </c>
      <c r="O27" s="24"/>
      <c r="P27" s="24"/>
      <c r="Q27" s="24"/>
    </row>
    <row r="28" spans="1:27" s="21" customFormat="1">
      <c r="A28" s="357" t="s">
        <v>106</v>
      </c>
      <c r="B28" s="98">
        <v>125425372.97</v>
      </c>
      <c r="C28" s="98">
        <v>1463138.82</v>
      </c>
      <c r="D28" s="98">
        <v>1824896</v>
      </c>
      <c r="E28" s="98">
        <v>1018016.75</v>
      </c>
      <c r="F28" s="98">
        <v>0</v>
      </c>
      <c r="G28" s="344">
        <f t="shared" si="11"/>
        <v>129731424.53999999</v>
      </c>
      <c r="H28" s="98">
        <v>29545417.32</v>
      </c>
      <c r="I28" s="98">
        <v>2684295.3199999998</v>
      </c>
      <c r="J28" s="98">
        <v>1159755.3799999999</v>
      </c>
      <c r="K28" s="98">
        <v>0</v>
      </c>
      <c r="L28" s="98">
        <v>0</v>
      </c>
      <c r="M28" s="164">
        <f t="shared" si="12"/>
        <v>33389468.02</v>
      </c>
      <c r="N28" s="164">
        <f t="shared" si="13"/>
        <v>163120892.56</v>
      </c>
      <c r="O28" s="24"/>
      <c r="P28" s="24"/>
      <c r="Q28" s="24"/>
    </row>
    <row r="29" spans="1:27" s="21" customFormat="1">
      <c r="A29" s="359" t="s">
        <v>5</v>
      </c>
      <c r="B29" s="293">
        <v>27571876.469999999</v>
      </c>
      <c r="C29" s="293">
        <v>557806.9</v>
      </c>
      <c r="D29" s="293">
        <v>519237</v>
      </c>
      <c r="E29" s="293">
        <v>0</v>
      </c>
      <c r="F29" s="293">
        <v>0</v>
      </c>
      <c r="G29" s="344">
        <f t="shared" si="11"/>
        <v>28648920.369999997</v>
      </c>
      <c r="H29" s="293">
        <v>29219341</v>
      </c>
      <c r="I29" s="293">
        <v>3284402.81</v>
      </c>
      <c r="J29" s="293">
        <v>1278526.92</v>
      </c>
      <c r="K29" s="293">
        <v>0</v>
      </c>
      <c r="L29" s="293">
        <v>0</v>
      </c>
      <c r="M29" s="344">
        <f t="shared" si="12"/>
        <v>33782270.729999997</v>
      </c>
      <c r="N29" s="344">
        <f t="shared" si="13"/>
        <v>62431191.099999994</v>
      </c>
      <c r="O29" s="24"/>
      <c r="P29" s="24"/>
      <c r="Q29" s="24"/>
    </row>
    <row r="30" spans="1:27">
      <c r="A30" s="357" t="s">
        <v>115</v>
      </c>
      <c r="B30" s="98">
        <v>2242695.66</v>
      </c>
      <c r="C30" s="98">
        <v>376862.5</v>
      </c>
      <c r="D30" s="98">
        <v>642502.5</v>
      </c>
      <c r="E30" s="98">
        <v>0</v>
      </c>
      <c r="F30" s="98">
        <v>0</v>
      </c>
      <c r="G30" s="164">
        <f t="shared" si="11"/>
        <v>3262060.66</v>
      </c>
      <c r="H30" s="98">
        <v>12965957.17</v>
      </c>
      <c r="I30" s="98">
        <v>2119780.54</v>
      </c>
      <c r="J30" s="98">
        <v>915596.35</v>
      </c>
      <c r="K30" s="98">
        <v>0</v>
      </c>
      <c r="L30" s="98">
        <v>0</v>
      </c>
      <c r="M30" s="344">
        <f t="shared" si="12"/>
        <v>16001334.060000001</v>
      </c>
      <c r="N30" s="164">
        <f t="shared" si="13"/>
        <v>19263394.719999999</v>
      </c>
      <c r="O30" s="27"/>
      <c r="P30" s="27"/>
      <c r="Q30" s="27"/>
      <c r="R30" s="26"/>
      <c r="S30" s="26"/>
      <c r="T30" s="26"/>
      <c r="U30" s="26"/>
      <c r="V30" s="26"/>
      <c r="W30" s="26"/>
      <c r="X30" s="26"/>
      <c r="Y30" s="26"/>
      <c r="Z30" s="26"/>
      <c r="AA30" s="26"/>
    </row>
    <row r="31" spans="1:27">
      <c r="A31" s="357" t="s">
        <v>116</v>
      </c>
      <c r="B31" s="98">
        <v>13131023.82</v>
      </c>
      <c r="C31" s="98">
        <v>184843</v>
      </c>
      <c r="D31" s="98">
        <v>352430</v>
      </c>
      <c r="E31" s="98">
        <v>0</v>
      </c>
      <c r="F31" s="98">
        <v>0</v>
      </c>
      <c r="G31" s="164">
        <f t="shared" si="11"/>
        <v>13668296.82</v>
      </c>
      <c r="H31" s="98">
        <v>14489926.789999999</v>
      </c>
      <c r="I31" s="98">
        <v>2213366.3199999998</v>
      </c>
      <c r="J31" s="98">
        <v>956289.52</v>
      </c>
      <c r="K31" s="98">
        <v>0</v>
      </c>
      <c r="L31" s="98">
        <v>0</v>
      </c>
      <c r="M31" s="344">
        <f t="shared" ref="M31:M37" si="14">SUM(H31:L31)</f>
        <v>17659582.629999999</v>
      </c>
      <c r="N31" s="164">
        <f t="shared" si="13"/>
        <v>31327879.449999999</v>
      </c>
      <c r="O31" s="27"/>
      <c r="P31" s="27"/>
      <c r="Q31" s="27"/>
      <c r="R31" s="26"/>
      <c r="S31" s="26"/>
      <c r="T31" s="26"/>
      <c r="U31" s="26"/>
      <c r="V31" s="26"/>
      <c r="W31" s="26"/>
      <c r="X31" s="26"/>
      <c r="Y31" s="26"/>
      <c r="Z31" s="26"/>
      <c r="AA31" s="26"/>
    </row>
    <row r="32" spans="1:27">
      <c r="A32" s="357" t="s">
        <v>6</v>
      </c>
      <c r="B32" s="98">
        <v>1100394.3700000001</v>
      </c>
      <c r="C32" s="98">
        <v>103976.36</v>
      </c>
      <c r="D32" s="98">
        <v>91080</v>
      </c>
      <c r="E32" s="98">
        <v>0</v>
      </c>
      <c r="F32" s="98">
        <v>0</v>
      </c>
      <c r="G32" s="164">
        <f t="shared" si="11"/>
        <v>1295450.7300000002</v>
      </c>
      <c r="H32" s="98">
        <v>5204289.2</v>
      </c>
      <c r="I32" s="98">
        <v>753486.4</v>
      </c>
      <c r="J32" s="98">
        <v>325545.36</v>
      </c>
      <c r="K32" s="98">
        <v>0</v>
      </c>
      <c r="L32" s="98">
        <v>0</v>
      </c>
      <c r="M32" s="344">
        <f t="shared" si="14"/>
        <v>6283320.9600000009</v>
      </c>
      <c r="N32" s="164">
        <f t="shared" si="13"/>
        <v>7578771.6900000013</v>
      </c>
      <c r="O32" s="27"/>
      <c r="P32" s="27"/>
      <c r="Q32" s="27"/>
      <c r="R32" s="26"/>
      <c r="S32" s="26"/>
      <c r="T32" s="26"/>
      <c r="U32" s="26"/>
      <c r="V32" s="26"/>
      <c r="W32" s="26"/>
      <c r="X32" s="26"/>
      <c r="Y32" s="26"/>
      <c r="Z32" s="26"/>
      <c r="AA32" s="26"/>
    </row>
    <row r="33" spans="1:27">
      <c r="A33" s="359" t="s">
        <v>7</v>
      </c>
      <c r="B33" s="293">
        <v>5453454.6299999999</v>
      </c>
      <c r="C33" s="293">
        <v>95579.63</v>
      </c>
      <c r="D33" s="293">
        <v>265899.75</v>
      </c>
      <c r="E33" s="293">
        <v>0</v>
      </c>
      <c r="F33" s="293">
        <v>0</v>
      </c>
      <c r="G33" s="344">
        <f t="shared" si="11"/>
        <v>5814934.0099999998</v>
      </c>
      <c r="H33" s="293">
        <v>3230326.43</v>
      </c>
      <c r="I33" s="293">
        <v>753486.38</v>
      </c>
      <c r="J33" s="293">
        <v>325545.36</v>
      </c>
      <c r="K33" s="293">
        <v>0</v>
      </c>
      <c r="L33" s="293">
        <v>0</v>
      </c>
      <c r="M33" s="344">
        <f t="shared" si="14"/>
        <v>4309358.17</v>
      </c>
      <c r="N33" s="344">
        <f t="shared" si="13"/>
        <v>10124292.18</v>
      </c>
      <c r="O33" s="27"/>
      <c r="P33" s="27"/>
      <c r="Q33" s="27"/>
      <c r="R33" s="26"/>
      <c r="S33" s="26"/>
      <c r="T33" s="26"/>
      <c r="U33" s="26"/>
      <c r="V33" s="26"/>
      <c r="W33" s="26"/>
      <c r="X33" s="26"/>
      <c r="Y33" s="26"/>
      <c r="Z33" s="26"/>
      <c r="AA33" s="26"/>
    </row>
    <row r="34" spans="1:27">
      <c r="A34" s="357" t="s">
        <v>3</v>
      </c>
      <c r="B34" s="98">
        <v>6913310.0499999998</v>
      </c>
      <c r="C34" s="98">
        <v>82600.53</v>
      </c>
      <c r="D34" s="98">
        <v>125091</v>
      </c>
      <c r="E34" s="98">
        <v>0</v>
      </c>
      <c r="F34" s="98">
        <v>0</v>
      </c>
      <c r="G34" s="164">
        <f t="shared" si="11"/>
        <v>7121001.5800000001</v>
      </c>
      <c r="H34" s="98">
        <v>4448481.79</v>
      </c>
      <c r="I34" s="98">
        <v>530640.48</v>
      </c>
      <c r="J34" s="98">
        <v>223812.43</v>
      </c>
      <c r="K34" s="98">
        <v>0</v>
      </c>
      <c r="L34" s="98">
        <v>0</v>
      </c>
      <c r="M34" s="344">
        <f t="shared" si="14"/>
        <v>5202934.6999999993</v>
      </c>
      <c r="N34" s="164">
        <f t="shared" si="13"/>
        <v>12323936.279999999</v>
      </c>
      <c r="O34" s="27"/>
      <c r="P34" s="27"/>
      <c r="Q34" s="27"/>
      <c r="R34" s="26"/>
      <c r="S34" s="26"/>
      <c r="T34" s="26"/>
      <c r="U34" s="26"/>
      <c r="V34" s="26"/>
      <c r="W34" s="26"/>
      <c r="X34" s="26"/>
      <c r="Y34" s="26"/>
      <c r="Z34" s="26"/>
      <c r="AA34" s="26"/>
    </row>
    <row r="35" spans="1:27">
      <c r="A35" s="357" t="s">
        <v>4</v>
      </c>
      <c r="B35" s="98">
        <v>1008549.09</v>
      </c>
      <c r="C35" s="98">
        <v>74267.14</v>
      </c>
      <c r="D35" s="98">
        <v>62360</v>
      </c>
      <c r="E35" s="98">
        <v>0</v>
      </c>
      <c r="F35" s="98">
        <v>0</v>
      </c>
      <c r="G35" s="164">
        <f t="shared" si="11"/>
        <v>1145176.23</v>
      </c>
      <c r="H35" s="98">
        <v>3882229.73</v>
      </c>
      <c r="I35" s="98">
        <v>518021.92</v>
      </c>
      <c r="J35" s="98">
        <v>223812.43</v>
      </c>
      <c r="K35" s="98">
        <v>0</v>
      </c>
      <c r="L35" s="98">
        <v>0</v>
      </c>
      <c r="M35" s="344">
        <f t="shared" si="14"/>
        <v>4624064.08</v>
      </c>
      <c r="N35" s="164">
        <f t="shared" si="13"/>
        <v>5769240.3100000005</v>
      </c>
      <c r="O35" s="27"/>
      <c r="P35" s="27"/>
      <c r="Q35" s="27"/>
      <c r="R35" s="26"/>
      <c r="S35" s="26"/>
      <c r="T35" s="26"/>
      <c r="U35" s="26"/>
      <c r="V35" s="26"/>
      <c r="W35" s="26"/>
      <c r="X35" s="26"/>
      <c r="Y35" s="26"/>
      <c r="Z35" s="26"/>
      <c r="AA35" s="26"/>
    </row>
    <row r="36" spans="1:27">
      <c r="A36" s="359" t="s">
        <v>107</v>
      </c>
      <c r="B36" s="293">
        <v>4335169.0999999996</v>
      </c>
      <c r="C36" s="293">
        <v>79166.52</v>
      </c>
      <c r="D36" s="293">
        <v>83936</v>
      </c>
      <c r="E36" s="293">
        <v>0</v>
      </c>
      <c r="F36" s="293">
        <v>0</v>
      </c>
      <c r="G36" s="164">
        <f t="shared" si="11"/>
        <v>4498271.6199999992</v>
      </c>
      <c r="H36" s="293">
        <v>3227834.34</v>
      </c>
      <c r="I36" s="293">
        <v>482400.42</v>
      </c>
      <c r="J36" s="293">
        <v>203465.85</v>
      </c>
      <c r="K36" s="293">
        <v>0</v>
      </c>
      <c r="L36" s="293">
        <v>0</v>
      </c>
      <c r="M36" s="344">
        <f t="shared" si="14"/>
        <v>3913700.61</v>
      </c>
      <c r="N36" s="164">
        <f t="shared" si="13"/>
        <v>8411972.2299999986</v>
      </c>
      <c r="O36" s="27"/>
      <c r="P36" s="27"/>
      <c r="Q36" s="27"/>
      <c r="R36" s="26"/>
      <c r="S36" s="26"/>
      <c r="T36" s="26"/>
      <c r="U36" s="26"/>
      <c r="V36" s="26"/>
      <c r="W36" s="26"/>
      <c r="X36" s="26"/>
      <c r="Y36" s="26"/>
      <c r="Z36" s="26"/>
      <c r="AA36" s="26"/>
    </row>
    <row r="37" spans="1:27">
      <c r="A37" s="495" t="s">
        <v>294</v>
      </c>
      <c r="B37" s="293">
        <v>2575117.3199999998</v>
      </c>
      <c r="C37" s="293">
        <v>1056</v>
      </c>
      <c r="D37" s="293">
        <v>55860</v>
      </c>
      <c r="E37" s="293">
        <v>0</v>
      </c>
      <c r="F37" s="293">
        <v>0</v>
      </c>
      <c r="G37" s="164">
        <f t="shared" si="11"/>
        <v>2632033.3199999998</v>
      </c>
      <c r="H37" s="293">
        <v>1301832.1000000001</v>
      </c>
      <c r="I37" s="293">
        <v>376743.15</v>
      </c>
      <c r="J37" s="293">
        <v>162772.69</v>
      </c>
      <c r="K37" s="293">
        <v>0</v>
      </c>
      <c r="L37" s="293">
        <v>0</v>
      </c>
      <c r="M37" s="344">
        <f t="shared" si="14"/>
        <v>1841347.94</v>
      </c>
      <c r="N37" s="164">
        <f t="shared" si="13"/>
        <v>4473381.26</v>
      </c>
      <c r="O37" s="27"/>
      <c r="P37" s="27"/>
      <c r="Q37" s="27"/>
      <c r="R37" s="26"/>
      <c r="S37" s="26"/>
      <c r="T37" s="26"/>
      <c r="U37" s="26"/>
      <c r="V37" s="26"/>
      <c r="W37" s="26"/>
      <c r="X37" s="26"/>
      <c r="Y37" s="26"/>
      <c r="Z37" s="26"/>
      <c r="AA37" s="26"/>
    </row>
    <row r="38" spans="1:27">
      <c r="A38" s="294"/>
      <c r="B38" s="363"/>
      <c r="C38" s="363"/>
      <c r="D38" s="363"/>
      <c r="E38" s="363"/>
      <c r="F38" s="363"/>
      <c r="G38" s="365"/>
      <c r="H38" s="363"/>
      <c r="I38" s="363"/>
      <c r="J38" s="363"/>
      <c r="K38" s="363"/>
      <c r="L38" s="363"/>
      <c r="M38" s="364"/>
      <c r="N38" s="364"/>
      <c r="O38" s="27"/>
      <c r="P38" s="27"/>
      <c r="Q38" s="27"/>
      <c r="R38" s="26"/>
      <c r="S38" s="26"/>
      <c r="T38" s="26"/>
      <c r="U38" s="26"/>
      <c r="V38" s="26"/>
      <c r="W38" s="26"/>
      <c r="X38" s="26"/>
      <c r="Y38" s="26"/>
      <c r="Z38" s="26"/>
      <c r="AA38" s="26"/>
    </row>
    <row r="39" spans="1:27" s="21" customFormat="1" ht="24.75" thickBot="1">
      <c r="A39" s="295" t="s">
        <v>50</v>
      </c>
      <c r="B39" s="386">
        <f>SUM(B10+B22)</f>
        <v>1100358739.5</v>
      </c>
      <c r="C39" s="386">
        <f>SUM(C10+C22)</f>
        <v>235682741.84</v>
      </c>
      <c r="D39" s="386">
        <f>SUM(D10+D22)</f>
        <v>26755571.57</v>
      </c>
      <c r="E39" s="386">
        <f>SUM(E10+E22)</f>
        <v>31707343.07</v>
      </c>
      <c r="F39" s="386">
        <f>SUM(F10+F22)</f>
        <v>61997069.439999998</v>
      </c>
      <c r="G39" s="387">
        <f>SUM(B39:F39)</f>
        <v>1456501465.4199998</v>
      </c>
      <c r="H39" s="386">
        <f t="shared" ref="H39:N39" si="15">SUM(H10+H22)</f>
        <v>920674978.74000001</v>
      </c>
      <c r="I39" s="386">
        <f t="shared" si="15"/>
        <v>23196430.790000003</v>
      </c>
      <c r="J39" s="386">
        <f t="shared" si="15"/>
        <v>9562895.1199999973</v>
      </c>
      <c r="K39" s="386">
        <f t="shared" si="15"/>
        <v>0</v>
      </c>
      <c r="L39" s="386">
        <f t="shared" si="15"/>
        <v>0</v>
      </c>
      <c r="M39" s="386">
        <f t="shared" si="15"/>
        <v>953434304.64999986</v>
      </c>
      <c r="N39" s="386">
        <f t="shared" si="15"/>
        <v>2409935770.0699997</v>
      </c>
      <c r="O39" s="24"/>
      <c r="P39" s="24"/>
      <c r="Q39" s="24"/>
    </row>
    <row r="40" spans="1:27" s="268" customFormat="1" ht="15.75" thickTop="1">
      <c r="A40" s="272"/>
      <c r="B40" s="271"/>
      <c r="C40" s="271"/>
      <c r="D40" s="271"/>
      <c r="E40" s="271"/>
      <c r="F40" s="271"/>
      <c r="G40" s="407"/>
      <c r="H40" s="271"/>
      <c r="I40" s="271"/>
      <c r="J40" s="271"/>
      <c r="K40" s="271"/>
      <c r="L40" s="271"/>
      <c r="M40" s="270"/>
      <c r="N40" s="271"/>
      <c r="O40" s="267"/>
      <c r="P40" s="267"/>
      <c r="Q40" s="267"/>
    </row>
    <row r="41" spans="1:27">
      <c r="G41" s="55"/>
      <c r="O41" s="27"/>
      <c r="P41" s="27"/>
      <c r="Q41" s="27"/>
      <c r="R41" s="26"/>
      <c r="S41" s="26"/>
      <c r="T41" s="26"/>
      <c r="U41" s="26"/>
      <c r="V41" s="26"/>
      <c r="W41" s="26"/>
      <c r="X41" s="26"/>
      <c r="Y41" s="26"/>
      <c r="Z41" s="26"/>
      <c r="AA41" s="26"/>
    </row>
    <row r="42" spans="1:27" s="268" customFormat="1">
      <c r="A42" s="272"/>
      <c r="B42" s="271"/>
      <c r="C42" s="55"/>
      <c r="D42" s="271"/>
      <c r="E42" s="271"/>
      <c r="F42" s="271"/>
      <c r="G42" s="408"/>
      <c r="H42" s="271"/>
      <c r="I42" s="271"/>
      <c r="J42" s="271"/>
      <c r="K42" s="271"/>
      <c r="L42" s="271"/>
      <c r="M42" s="270"/>
      <c r="N42" s="271"/>
      <c r="O42" s="267"/>
      <c r="P42" s="267"/>
      <c r="Q42" s="267"/>
    </row>
    <row r="43" spans="1:27" s="268" customFormat="1" ht="15">
      <c r="A43" s="272"/>
      <c r="B43" s="271"/>
      <c r="C43" s="271"/>
      <c r="D43" s="271"/>
      <c r="E43" s="271"/>
      <c r="F43" s="271"/>
      <c r="G43" s="407"/>
      <c r="H43" s="271"/>
      <c r="I43" s="271"/>
      <c r="J43" s="271"/>
      <c r="K43" s="271"/>
      <c r="L43" s="271"/>
      <c r="M43" s="270"/>
      <c r="N43" s="271"/>
      <c r="O43" s="267"/>
      <c r="P43" s="267"/>
      <c r="Q43" s="267"/>
    </row>
    <row r="44" spans="1:27" s="268" customFormat="1" ht="15">
      <c r="A44" s="272"/>
      <c r="B44" s="271"/>
      <c r="C44" s="271"/>
      <c r="D44" s="271"/>
      <c r="E44" s="271"/>
      <c r="F44" s="271"/>
      <c r="G44" s="408"/>
      <c r="H44" s="271"/>
      <c r="I44" s="271"/>
      <c r="J44" s="271"/>
      <c r="K44" s="271"/>
      <c r="L44" s="271"/>
      <c r="M44" s="270"/>
      <c r="N44" s="271"/>
      <c r="O44" s="267"/>
      <c r="P44" s="267"/>
      <c r="Q44" s="267"/>
    </row>
    <row r="45" spans="1:27" s="268" customFormat="1" ht="15">
      <c r="A45" s="272"/>
      <c r="B45" s="271"/>
      <c r="C45" s="271"/>
      <c r="D45" s="271"/>
      <c r="E45" s="271"/>
      <c r="F45" s="271"/>
      <c r="G45" s="408"/>
      <c r="H45" s="271"/>
      <c r="I45" s="271"/>
      <c r="J45" s="271"/>
      <c r="K45" s="271"/>
      <c r="L45" s="271"/>
      <c r="M45" s="270"/>
      <c r="N45" s="271"/>
      <c r="O45" s="267"/>
      <c r="P45" s="267"/>
      <c r="Q45" s="267"/>
    </row>
    <row r="46" spans="1:27" s="268" customFormat="1" ht="15">
      <c r="A46" s="272"/>
      <c r="B46" s="271"/>
      <c r="C46" s="271"/>
      <c r="D46" s="271"/>
      <c r="E46" s="271"/>
      <c r="F46" s="271"/>
      <c r="G46" s="408"/>
      <c r="H46" s="271"/>
      <c r="I46" s="271"/>
      <c r="J46" s="271"/>
      <c r="K46" s="271"/>
      <c r="L46" s="271"/>
      <c r="M46" s="270"/>
      <c r="N46" s="271"/>
      <c r="O46" s="267"/>
      <c r="P46" s="267"/>
      <c r="Q46" s="267"/>
    </row>
    <row r="48" spans="1:27">
      <c r="G48" s="133"/>
    </row>
    <row r="53" spans="7:7">
      <c r="G53" s="133"/>
    </row>
    <row r="70" spans="1:8">
      <c r="B70" s="55" t="s">
        <v>131</v>
      </c>
      <c r="D70" s="55" t="s">
        <v>132</v>
      </c>
      <c r="G70" s="132" t="s">
        <v>131</v>
      </c>
      <c r="H70" s="55" t="s">
        <v>132</v>
      </c>
    </row>
    <row r="71" spans="1:8">
      <c r="A71" s="46" t="s">
        <v>133</v>
      </c>
      <c r="B71" s="55">
        <v>0</v>
      </c>
      <c r="D71" s="55">
        <v>74920</v>
      </c>
      <c r="G71" s="132">
        <v>0</v>
      </c>
      <c r="H71" s="55">
        <v>0</v>
      </c>
    </row>
    <row r="72" spans="1:8">
      <c r="A72" s="46" t="s">
        <v>134</v>
      </c>
      <c r="B72" s="55">
        <v>11666779</v>
      </c>
      <c r="D72" s="55">
        <v>18919264.599999998</v>
      </c>
      <c r="G72" s="132">
        <v>0</v>
      </c>
      <c r="H72" s="55">
        <v>0</v>
      </c>
    </row>
    <row r="73" spans="1:8">
      <c r="A73" s="46" t="s">
        <v>135</v>
      </c>
      <c r="B73" s="55">
        <v>0</v>
      </c>
      <c r="D73" s="55">
        <v>8843100</v>
      </c>
      <c r="G73" s="132">
        <v>0</v>
      </c>
      <c r="H73" s="55">
        <v>0</v>
      </c>
    </row>
    <row r="74" spans="1:8">
      <c r="A74" s="46" t="s">
        <v>136</v>
      </c>
      <c r="B74" s="55">
        <v>23694.5</v>
      </c>
      <c r="D74" s="55">
        <v>9989250.9800000004</v>
      </c>
      <c r="G74" s="132">
        <v>0</v>
      </c>
      <c r="H74" s="55">
        <v>0</v>
      </c>
    </row>
    <row r="75" spans="1:8">
      <c r="A75" s="46" t="s">
        <v>137</v>
      </c>
      <c r="B75" s="55">
        <v>0</v>
      </c>
      <c r="D75" s="55">
        <v>14803630</v>
      </c>
      <c r="G75" s="132">
        <v>0</v>
      </c>
      <c r="H75" s="55">
        <v>0</v>
      </c>
    </row>
    <row r="77" spans="1:8">
      <c r="A77" s="46">
        <v>231252763.08000001</v>
      </c>
      <c r="B77" s="55">
        <v>11690473.5</v>
      </c>
      <c r="D77" s="55">
        <v>52630165.579999998</v>
      </c>
      <c r="G77" s="132">
        <v>0</v>
      </c>
      <c r="H77" s="55">
        <v>0</v>
      </c>
    </row>
  </sheetData>
  <mergeCells count="6">
    <mergeCell ref="A1:N1"/>
    <mergeCell ref="A2:N2"/>
    <mergeCell ref="A3:N3"/>
    <mergeCell ref="M5:N5"/>
    <mergeCell ref="B6:G6"/>
    <mergeCell ref="H6:M6"/>
  </mergeCells>
  <pageMargins left="0.39370078740157483" right="0.39370078740157483" top="0.49" bottom="0.37" header="0.47244094488188981" footer="0.35433070866141736"/>
  <pageSetup paperSize="9" scale="5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rgb="FFFFFF00"/>
  </sheetPr>
  <dimension ref="A1:I78"/>
  <sheetViews>
    <sheetView workbookViewId="0">
      <selection sqref="A1:I1"/>
    </sheetView>
  </sheetViews>
  <sheetFormatPr defaultRowHeight="21.75"/>
  <cols>
    <col min="1" max="1" width="68.5703125" style="107" customWidth="1"/>
    <col min="2" max="2" width="22.140625" style="108" bestFit="1" customWidth="1"/>
    <col min="3" max="3" width="24.42578125" style="108" customWidth="1"/>
    <col min="4" max="4" width="21.7109375" style="108" customWidth="1"/>
    <col min="5" max="5" width="20.7109375" style="108" bestFit="1" customWidth="1"/>
    <col min="6" max="6" width="22.140625" style="108" bestFit="1" customWidth="1"/>
    <col min="7" max="7" width="17.5703125" style="138" customWidth="1"/>
    <col min="8" max="8" width="19.5703125" style="107" bestFit="1" customWidth="1"/>
    <col min="9" max="9" width="18.28515625" style="108" customWidth="1"/>
    <col min="10" max="16384" width="9.140625" style="107"/>
  </cols>
  <sheetData>
    <row r="1" spans="1:9" s="113" customFormat="1" ht="27.75">
      <c r="A1" s="592" t="s">
        <v>177</v>
      </c>
      <c r="B1" s="592"/>
      <c r="C1" s="592"/>
      <c r="D1" s="592"/>
      <c r="E1" s="592"/>
      <c r="F1" s="592"/>
      <c r="G1" s="592"/>
      <c r="H1" s="592"/>
      <c r="I1" s="592"/>
    </row>
    <row r="2" spans="1:9" s="113" customFormat="1" ht="27.75">
      <c r="A2" s="592" t="s">
        <v>253</v>
      </c>
      <c r="B2" s="592"/>
      <c r="C2" s="592"/>
      <c r="D2" s="592"/>
      <c r="E2" s="592"/>
      <c r="F2" s="592"/>
      <c r="G2" s="592"/>
      <c r="H2" s="592"/>
      <c r="I2" s="592"/>
    </row>
    <row r="3" spans="1:9" s="113" customFormat="1" ht="27.75">
      <c r="A3" s="592" t="s">
        <v>277</v>
      </c>
      <c r="B3" s="592"/>
      <c r="C3" s="592"/>
      <c r="D3" s="592"/>
      <c r="E3" s="592"/>
      <c r="F3" s="592"/>
      <c r="G3" s="592"/>
      <c r="H3" s="592"/>
      <c r="I3" s="592"/>
    </row>
    <row r="4" spans="1:9" s="113" customFormat="1" ht="27.75">
      <c r="A4" s="566"/>
      <c r="B4" s="567"/>
      <c r="C4" s="567"/>
      <c r="D4" s="567"/>
      <c r="E4" s="567"/>
      <c r="F4" s="567"/>
      <c r="G4" s="566"/>
      <c r="H4" s="566"/>
      <c r="I4" s="566"/>
    </row>
    <row r="5" spans="1:9" s="113" customFormat="1" ht="27.75">
      <c r="A5" s="212" t="s">
        <v>200</v>
      </c>
      <c r="B5" s="114"/>
      <c r="C5" s="114"/>
      <c r="D5" s="114"/>
      <c r="E5" s="114"/>
      <c r="F5" s="114"/>
      <c r="G5" s="447"/>
      <c r="H5" s="449"/>
      <c r="I5" s="114"/>
    </row>
    <row r="6" spans="1:9" s="122" customFormat="1">
      <c r="A6" s="115"/>
      <c r="B6" s="121"/>
      <c r="C6" s="121"/>
      <c r="D6" s="121"/>
      <c r="E6" s="121"/>
      <c r="F6" s="121"/>
      <c r="G6" s="447"/>
      <c r="H6" s="448"/>
      <c r="I6" s="123" t="s">
        <v>59</v>
      </c>
    </row>
    <row r="7" spans="1:9" s="488" customFormat="1" ht="27.75">
      <c r="A7" s="116" t="s">
        <v>60</v>
      </c>
      <c r="B7" s="124" t="s">
        <v>78</v>
      </c>
      <c r="C7" s="124" t="s">
        <v>80</v>
      </c>
      <c r="D7" s="124" t="s">
        <v>46</v>
      </c>
      <c r="E7" s="124" t="s">
        <v>61</v>
      </c>
      <c r="F7" s="124" t="s">
        <v>62</v>
      </c>
      <c r="G7" s="125" t="s">
        <v>63</v>
      </c>
      <c r="H7" s="116" t="s">
        <v>64</v>
      </c>
      <c r="I7" s="124" t="s">
        <v>65</v>
      </c>
    </row>
    <row r="8" spans="1:9" s="113" customFormat="1" ht="27.75">
      <c r="A8" s="117"/>
      <c r="B8" s="127" t="s">
        <v>117</v>
      </c>
      <c r="C8" s="127" t="s">
        <v>117</v>
      </c>
      <c r="D8" s="128"/>
      <c r="E8" s="128"/>
      <c r="F8" s="128"/>
      <c r="G8" s="129"/>
      <c r="H8" s="130"/>
      <c r="I8" s="128"/>
    </row>
    <row r="9" spans="1:9" s="113" customFormat="1" ht="27.75">
      <c r="A9" s="248" t="s">
        <v>66</v>
      </c>
      <c r="B9" s="249">
        <f>+B10+B11+B12+B13+B14+B15+B16+B17+B18+B21+B22+B23+B25+B26+B28</f>
        <v>1649908001.9300001</v>
      </c>
      <c r="C9" s="249">
        <f t="shared" ref="C9:E9" si="0">+C10+C11+C12+C13+C14+C15+C16+C17+C18+C21+C22+C23+C25+C26+C28</f>
        <v>9078621.5500000007</v>
      </c>
      <c r="D9" s="249">
        <f t="shared" si="0"/>
        <v>83496412.299999997</v>
      </c>
      <c r="E9" s="249">
        <f t="shared" si="0"/>
        <v>225858485.62999997</v>
      </c>
      <c r="F9" s="249">
        <f>SUM(B9:E9)</f>
        <v>1968341521.4099998</v>
      </c>
      <c r="G9" s="250">
        <f>+G10+G22+G23+G25+G11+G13+G14+G15+G18+G21</f>
        <v>4693526</v>
      </c>
      <c r="H9" s="251"/>
      <c r="I9" s="249"/>
    </row>
    <row r="10" spans="1:9" s="113" customFormat="1" ht="27.75">
      <c r="A10" s="568" t="s">
        <v>254</v>
      </c>
      <c r="B10" s="103">
        <f>1649908001.93*22.49/100</f>
        <v>371064309.63405699</v>
      </c>
      <c r="C10" s="103">
        <f>9078621.55*22.49/100</f>
        <v>2041781.9865950001</v>
      </c>
      <c r="D10" s="103">
        <f>83496412.3*22.49/100</f>
        <v>18778343.12627</v>
      </c>
      <c r="E10" s="103">
        <f>225858485.63*22.49/100</f>
        <v>50795573.418187</v>
      </c>
      <c r="F10" s="340">
        <f>+B10+C10+D10+E10</f>
        <v>442680008.16510898</v>
      </c>
      <c r="G10" s="389">
        <v>149401</v>
      </c>
      <c r="H10" s="105" t="s">
        <v>68</v>
      </c>
      <c r="I10" s="394">
        <f>+F10/G10</f>
        <v>2963.0324306069501</v>
      </c>
    </row>
    <row r="11" spans="1:9" s="113" customFormat="1" ht="27.75">
      <c r="A11" s="569" t="s">
        <v>201</v>
      </c>
      <c r="B11" s="103">
        <f>1649908001.93*4.13/100</f>
        <v>68141200.479708999</v>
      </c>
      <c r="C11" s="103">
        <f>9078621.55*4.13/100</f>
        <v>374947.070015</v>
      </c>
      <c r="D11" s="103">
        <f>83496412.3*4.13/100</f>
        <v>3448401.8279899997</v>
      </c>
      <c r="E11" s="103">
        <f>225858485.63*4.13/100</f>
        <v>9327955.4565190002</v>
      </c>
      <c r="F11" s="164">
        <f>+B11+C11+D11+E11</f>
        <v>81292504.834232986</v>
      </c>
      <c r="G11" s="389">
        <v>2210</v>
      </c>
      <c r="H11" s="105" t="s">
        <v>68</v>
      </c>
      <c r="I11" s="394">
        <f>+F11/G11</f>
        <v>36783.938839019451</v>
      </c>
    </row>
    <row r="12" spans="1:9" s="113" customFormat="1" ht="27.75">
      <c r="A12" s="569" t="s">
        <v>255</v>
      </c>
      <c r="B12" s="103">
        <f>1649908001.93*3.42/100</f>
        <v>56426853.666005999</v>
      </c>
      <c r="C12" s="103">
        <f>9078621.55*3.42/100</f>
        <v>310488.85701000004</v>
      </c>
      <c r="D12" s="103">
        <f>83496412.3*3.42/100</f>
        <v>2855577.3006599997</v>
      </c>
      <c r="E12" s="103">
        <f>225858485.63*3.42/100</f>
        <v>7724360.2085459996</v>
      </c>
      <c r="F12" s="164">
        <f t="shared" ref="F12:F18" si="1">+B12+C12+D12+E12</f>
        <v>67317280.032222003</v>
      </c>
      <c r="G12" s="389">
        <v>260</v>
      </c>
      <c r="H12" s="105" t="s">
        <v>282</v>
      </c>
      <c r="I12" s="394">
        <f>+F12/G12</f>
        <v>258912.61550854615</v>
      </c>
    </row>
    <row r="13" spans="1:9" s="132" customFormat="1" ht="27.75">
      <c r="A13" s="570" t="s">
        <v>202</v>
      </c>
      <c r="B13" s="103">
        <f>1649908001.93*6.8/100</f>
        <v>112193744.13124001</v>
      </c>
      <c r="C13" s="103">
        <f>9078621.55*6.8/100</f>
        <v>617346.26540000003</v>
      </c>
      <c r="D13" s="103">
        <f>83496412.3*6.8/100</f>
        <v>5677756.0363999996</v>
      </c>
      <c r="E13" s="103">
        <f>225858485.63*6.8/100</f>
        <v>15358377.022839999</v>
      </c>
      <c r="F13" s="164">
        <f t="shared" si="1"/>
        <v>133847223.45588002</v>
      </c>
      <c r="G13" s="104">
        <v>10324</v>
      </c>
      <c r="H13" s="105" t="s">
        <v>68</v>
      </c>
      <c r="I13" s="394">
        <f>+F13/G13</f>
        <v>12964.667130557926</v>
      </c>
    </row>
    <row r="14" spans="1:9" s="132" customFormat="1" ht="24">
      <c r="A14" s="571" t="s">
        <v>203</v>
      </c>
      <c r="B14" s="103">
        <f>1649908001.93*3.88/100</f>
        <v>64016430.474884003</v>
      </c>
      <c r="C14" s="103">
        <f>9078621.55*3.88/100</f>
        <v>352250.51614000002</v>
      </c>
      <c r="D14" s="103">
        <f>83496412.3*3.88/100</f>
        <v>3239660.7972399998</v>
      </c>
      <c r="E14" s="103">
        <f>225858485.63*3.88/100</f>
        <v>8763309.2424439993</v>
      </c>
      <c r="F14" s="164">
        <f t="shared" si="1"/>
        <v>76371651.030708</v>
      </c>
      <c r="G14" s="104">
        <v>2273</v>
      </c>
      <c r="H14" s="105" t="s">
        <v>68</v>
      </c>
      <c r="I14" s="98">
        <f t="shared" ref="I14:I18" si="2">SUM(F14/G14)</f>
        <v>33599.494514169819</v>
      </c>
    </row>
    <row r="15" spans="1:9" s="132" customFormat="1" ht="24">
      <c r="A15" s="571" t="s">
        <v>285</v>
      </c>
      <c r="B15" s="103">
        <f>1649908001.93*7.99/100</f>
        <v>131827649.35420699</v>
      </c>
      <c r="C15" s="103">
        <f>9078621.55*7.99/100</f>
        <v>725381.86184500006</v>
      </c>
      <c r="D15" s="103">
        <f>83496412.3*7.99/100</f>
        <v>6671363.3427699991</v>
      </c>
      <c r="E15" s="103">
        <f>225858485.63*7.99/100</f>
        <v>18046093.001837</v>
      </c>
      <c r="F15" s="164">
        <f t="shared" si="1"/>
        <v>157270487.56065899</v>
      </c>
      <c r="G15" s="104">
        <v>44001</v>
      </c>
      <c r="H15" s="105" t="s">
        <v>68</v>
      </c>
      <c r="I15" s="98">
        <f t="shared" si="2"/>
        <v>3574.2480298324808</v>
      </c>
    </row>
    <row r="16" spans="1:9" s="132" customFormat="1" ht="24">
      <c r="A16" s="572" t="s">
        <v>262</v>
      </c>
      <c r="B16" s="103">
        <f>1649908001.93*6.05/100</f>
        <v>99819434.116765007</v>
      </c>
      <c r="C16" s="103">
        <f>9078621.55*6.05/100</f>
        <v>549256.60377500008</v>
      </c>
      <c r="D16" s="103">
        <f>83496412.3*6.05/100</f>
        <v>5051532.9441499999</v>
      </c>
      <c r="E16" s="103">
        <f>225858485.63*6.05/100</f>
        <v>13664438.380614998</v>
      </c>
      <c r="F16" s="164">
        <f t="shared" si="1"/>
        <v>119084662.045305</v>
      </c>
      <c r="G16" s="104">
        <v>28</v>
      </c>
      <c r="H16" s="99" t="s">
        <v>108</v>
      </c>
      <c r="I16" s="98">
        <f t="shared" si="2"/>
        <v>4253023.6444751788</v>
      </c>
    </row>
    <row r="17" spans="1:9" s="132" customFormat="1" ht="24">
      <c r="A17" s="571" t="s">
        <v>286</v>
      </c>
      <c r="B17" s="103">
        <f>1649908001.93*3.1/100</f>
        <v>51147148.05983001</v>
      </c>
      <c r="C17" s="103">
        <f>9078621.55*3.1/100</f>
        <v>281437.26805000001</v>
      </c>
      <c r="D17" s="103">
        <f>83496412.3*3.1/100</f>
        <v>2588388.7812999999</v>
      </c>
      <c r="E17" s="103">
        <f>225858485.63*3.1/100</f>
        <v>7001613.0545299994</v>
      </c>
      <c r="F17" s="164">
        <f t="shared" si="1"/>
        <v>61018587.163710013</v>
      </c>
      <c r="G17" s="104">
        <v>111</v>
      </c>
      <c r="H17" s="99" t="s">
        <v>72</v>
      </c>
      <c r="I17" s="98">
        <f t="shared" si="2"/>
        <v>549717.00147486501</v>
      </c>
    </row>
    <row r="18" spans="1:9" s="132" customFormat="1" ht="24">
      <c r="A18" s="569" t="s">
        <v>287</v>
      </c>
      <c r="B18" s="103">
        <f>1649908001.93*37.68/100</f>
        <v>621685335.12722409</v>
      </c>
      <c r="C18" s="103">
        <f>9078621.55*37.68/100</f>
        <v>3420824.6000399999</v>
      </c>
      <c r="D18" s="103">
        <f>83496412.3*37.68/100</f>
        <v>31461448.154639997</v>
      </c>
      <c r="E18" s="103">
        <f>225858485.63*37.68/100</f>
        <v>85103477.385383993</v>
      </c>
      <c r="F18" s="164">
        <f t="shared" si="1"/>
        <v>741671085.26728797</v>
      </c>
      <c r="G18" s="104">
        <v>4456177</v>
      </c>
      <c r="H18" s="105" t="s">
        <v>68</v>
      </c>
      <c r="I18" s="98">
        <f t="shared" si="2"/>
        <v>166.43663060674834</v>
      </c>
    </row>
    <row r="19" spans="1:9" s="132" customFormat="1" ht="24">
      <c r="A19" s="247" t="s">
        <v>410</v>
      </c>
      <c r="B19" s="98"/>
      <c r="C19" s="98"/>
      <c r="D19" s="98"/>
      <c r="E19" s="98"/>
      <c r="F19" s="98"/>
      <c r="G19" s="104"/>
      <c r="H19" s="105"/>
      <c r="I19" s="98"/>
    </row>
    <row r="20" spans="1:9" s="132" customFormat="1" ht="24">
      <c r="A20" s="247" t="s">
        <v>411</v>
      </c>
      <c r="B20" s="98"/>
      <c r="C20" s="98"/>
      <c r="D20" s="98"/>
      <c r="E20" s="98"/>
      <c r="F20" s="98"/>
      <c r="G20" s="104"/>
      <c r="H20" s="105"/>
      <c r="I20" s="98"/>
    </row>
    <row r="21" spans="1:9" s="132" customFormat="1" ht="24">
      <c r="A21" s="572" t="s">
        <v>288</v>
      </c>
      <c r="B21" s="103">
        <f>1649908001.93*2.32/100</f>
        <v>38277865.644776002</v>
      </c>
      <c r="C21" s="103">
        <f>9078621.55*2.32/100</f>
        <v>210624.01996000001</v>
      </c>
      <c r="D21" s="103">
        <f>83496412.3*2.32/100</f>
        <v>1937116.7653599998</v>
      </c>
      <c r="E21" s="103">
        <f>225858485.63*2.32/100</f>
        <v>5239916.8666159995</v>
      </c>
      <c r="F21" s="164">
        <f>+B21+C21+D21+E21</f>
        <v>45665523.296711996</v>
      </c>
      <c r="G21" s="104">
        <v>15885</v>
      </c>
      <c r="H21" s="99" t="s">
        <v>68</v>
      </c>
      <c r="I21" s="98">
        <f>SUM(F21/G21)</f>
        <v>2874.7575257609064</v>
      </c>
    </row>
    <row r="22" spans="1:9" s="132" customFormat="1" ht="24">
      <c r="A22" s="570" t="s">
        <v>289</v>
      </c>
      <c r="B22" s="103">
        <f>1649908001.93*0.6/100</f>
        <v>9899448.0115799997</v>
      </c>
      <c r="C22" s="103">
        <f>9078621.55*0.6/100</f>
        <v>54471.729300000006</v>
      </c>
      <c r="D22" s="103">
        <f>83496412.3*0.6/100</f>
        <v>500978.47379999998</v>
      </c>
      <c r="E22" s="103">
        <f>225858485.63*0.6/100</f>
        <v>1355150.9137799998</v>
      </c>
      <c r="F22" s="164">
        <f>+B22+C22+D22+E22</f>
        <v>11810049.128459999</v>
      </c>
      <c r="G22" s="104">
        <v>3604</v>
      </c>
      <c r="H22" s="105" t="s">
        <v>68</v>
      </c>
      <c r="I22" s="98">
        <f t="shared" ref="I22:I28" si="3">SUM(F22/G22)</f>
        <v>3276.9281710488344</v>
      </c>
    </row>
    <row r="23" spans="1:9" s="132" customFormat="1" ht="24">
      <c r="A23" s="570" t="s">
        <v>290</v>
      </c>
      <c r="B23" s="103">
        <f>1649908001.93*0.13/100</f>
        <v>2144880.4025090002</v>
      </c>
      <c r="C23" s="103">
        <f>9078621.55*0.13/100</f>
        <v>11802.208015</v>
      </c>
      <c r="D23" s="103">
        <f>83496412.3*0.13/100</f>
        <v>108545.33598999999</v>
      </c>
      <c r="E23" s="103">
        <f>225858485.63*0.13/100</f>
        <v>293616.031319</v>
      </c>
      <c r="F23" s="164">
        <f>+B23+C23+D23+E23</f>
        <v>2558843.977833</v>
      </c>
      <c r="G23" s="104">
        <v>59</v>
      </c>
      <c r="H23" s="105" t="s">
        <v>68</v>
      </c>
      <c r="I23" s="98">
        <f t="shared" si="3"/>
        <v>43370.23691242373</v>
      </c>
    </row>
    <row r="24" spans="1:9" s="132" customFormat="1" ht="24">
      <c r="A24" s="570" t="s">
        <v>407</v>
      </c>
      <c r="B24" s="103"/>
      <c r="C24" s="103"/>
      <c r="D24" s="103"/>
      <c r="E24" s="103"/>
      <c r="F24" s="164"/>
      <c r="G24" s="104"/>
      <c r="H24" s="105"/>
      <c r="I24" s="98"/>
    </row>
    <row r="25" spans="1:9" s="132" customFormat="1" ht="24">
      <c r="A25" s="570" t="s">
        <v>408</v>
      </c>
      <c r="B25" s="103">
        <f>1649908001.93*0.57/100</f>
        <v>9404475.6110009998</v>
      </c>
      <c r="C25" s="103">
        <f>9078621.55*0.57/100</f>
        <v>51748.142834999999</v>
      </c>
      <c r="D25" s="103">
        <f>83496412.3*0.57/100</f>
        <v>475929.55010999995</v>
      </c>
      <c r="E25" s="103">
        <f>225858485.63*0.57/100</f>
        <v>1287393.3680909998</v>
      </c>
      <c r="F25" s="164">
        <f t="shared" ref="F25:F28" si="4">+B25+C25+D25+E25</f>
        <v>11219546.672037</v>
      </c>
      <c r="G25" s="104">
        <v>9592</v>
      </c>
      <c r="H25" s="105" t="s">
        <v>68</v>
      </c>
      <c r="I25" s="98">
        <f t="shared" si="3"/>
        <v>1169.6775095951834</v>
      </c>
    </row>
    <row r="26" spans="1:9" s="132" customFormat="1" ht="24">
      <c r="A26" s="570" t="s">
        <v>291</v>
      </c>
      <c r="B26" s="103">
        <f>1649908001.93*0.18/100</f>
        <v>2969834.4034740003</v>
      </c>
      <c r="C26" s="103">
        <f>9078621.55*0.18/100</f>
        <v>16341.518790000002</v>
      </c>
      <c r="D26" s="103">
        <f>83496412.3*0.18/100</f>
        <v>150293.54214000001</v>
      </c>
      <c r="E26" s="103">
        <f>225858485.63*0.18/100</f>
        <v>406545.27413399995</v>
      </c>
      <c r="F26" s="164">
        <f t="shared" si="4"/>
        <v>3543014.7385380003</v>
      </c>
      <c r="G26" s="104">
        <v>87</v>
      </c>
      <c r="H26" s="105" t="s">
        <v>282</v>
      </c>
      <c r="I26" s="98">
        <f t="shared" si="3"/>
        <v>40724.307339517247</v>
      </c>
    </row>
    <row r="27" spans="1:9" s="132" customFormat="1" ht="24">
      <c r="A27" s="570" t="s">
        <v>409</v>
      </c>
      <c r="B27" s="103"/>
      <c r="C27" s="103"/>
      <c r="D27" s="103"/>
      <c r="E27" s="103"/>
      <c r="F27" s="164"/>
      <c r="G27" s="104"/>
      <c r="H27" s="105"/>
      <c r="I27" s="98"/>
    </row>
    <row r="28" spans="1:9" s="132" customFormat="1" ht="24">
      <c r="A28" s="570" t="s">
        <v>292</v>
      </c>
      <c r="B28" s="103">
        <f>1649908001.93*0.66/100</f>
        <v>10889392.812738001</v>
      </c>
      <c r="C28" s="103">
        <f>9078621.55*0.66/100</f>
        <v>59918.902230000014</v>
      </c>
      <c r="D28" s="103">
        <f>83496412.3*0.66/100</f>
        <v>551076.32117999997</v>
      </c>
      <c r="E28" s="103">
        <f>225858485.63*0.66/100</f>
        <v>1490666.0051579999</v>
      </c>
      <c r="F28" s="164">
        <f t="shared" si="4"/>
        <v>12991054.041306</v>
      </c>
      <c r="G28" s="104">
        <v>79</v>
      </c>
      <c r="H28" s="105" t="s">
        <v>282</v>
      </c>
      <c r="I28" s="98">
        <f t="shared" si="3"/>
        <v>164443.72204184812</v>
      </c>
    </row>
    <row r="29" spans="1:9" s="132" customFormat="1" ht="24">
      <c r="A29" s="409"/>
      <c r="B29" s="98"/>
      <c r="C29" s="98"/>
      <c r="D29" s="98"/>
      <c r="E29" s="98"/>
      <c r="F29" s="98"/>
      <c r="G29" s="104"/>
      <c r="H29" s="105"/>
      <c r="I29" s="98"/>
    </row>
    <row r="30" spans="1:9" s="113" customFormat="1" ht="27.75">
      <c r="A30" s="120" t="s">
        <v>67</v>
      </c>
      <c r="B30" s="134">
        <f>SUM(B31:B67)</f>
        <v>403150133.06</v>
      </c>
      <c r="C30" s="134">
        <f>SUM(C31:C67)</f>
        <v>5821550.7300000004</v>
      </c>
      <c r="D30" s="134">
        <f>SUM(D31:D67)</f>
        <v>15874999.450000001</v>
      </c>
      <c r="E30" s="134">
        <f>SUM(E31:E67)</f>
        <v>16747565.420000006</v>
      </c>
      <c r="F30" s="134">
        <f>SUM(B30:E30)</f>
        <v>441594248.66000003</v>
      </c>
      <c r="G30" s="135"/>
      <c r="H30" s="136"/>
      <c r="I30" s="134"/>
    </row>
    <row r="31" spans="1:9" s="100" customFormat="1" ht="24">
      <c r="A31" s="575" t="s">
        <v>207</v>
      </c>
      <c r="B31" s="98">
        <v>8545388.4900000002</v>
      </c>
      <c r="C31" s="98">
        <v>15560.48</v>
      </c>
      <c r="D31" s="98">
        <v>171942.1</v>
      </c>
      <c r="E31" s="98">
        <v>432743.82</v>
      </c>
      <c r="F31" s="98">
        <f>SUM(B31:E31)</f>
        <v>9165634.8900000006</v>
      </c>
      <c r="G31" s="59">
        <v>12384</v>
      </c>
      <c r="H31" s="582" t="s">
        <v>70</v>
      </c>
      <c r="I31" s="98">
        <f>SUM(F31/G31)</f>
        <v>740.11909641472869</v>
      </c>
    </row>
    <row r="32" spans="1:9" s="100" customFormat="1" ht="24">
      <c r="A32" s="571" t="s">
        <v>208</v>
      </c>
      <c r="B32" s="98">
        <v>8462728.4800000004</v>
      </c>
      <c r="C32" s="98">
        <v>17730.09</v>
      </c>
      <c r="D32" s="98">
        <v>426545.29</v>
      </c>
      <c r="E32" s="98">
        <v>253641.61</v>
      </c>
      <c r="F32" s="98">
        <f>SUM(B32:E32)</f>
        <v>9160645.4699999988</v>
      </c>
      <c r="G32" s="59">
        <v>545</v>
      </c>
      <c r="H32" s="582" t="s">
        <v>69</v>
      </c>
      <c r="I32" s="98">
        <f>SUM(F32/G32)</f>
        <v>16808.523798165137</v>
      </c>
    </row>
    <row r="33" spans="1:9" s="100" customFormat="1" ht="24">
      <c r="A33" s="571" t="s">
        <v>209</v>
      </c>
      <c r="B33" s="98">
        <v>5212282.6100000003</v>
      </c>
      <c r="C33" s="98">
        <v>48900.12</v>
      </c>
      <c r="D33" s="98">
        <v>313237.37</v>
      </c>
      <c r="E33" s="98">
        <v>141196.70000000001</v>
      </c>
      <c r="F33" s="98">
        <f t="shared" ref="F33:F66" si="5">SUM(B33:E33)</f>
        <v>5715616.8000000007</v>
      </c>
      <c r="G33" s="59">
        <v>66077</v>
      </c>
      <c r="H33" s="582" t="s">
        <v>8</v>
      </c>
      <c r="I33" s="98">
        <f t="shared" ref="I33:I66" si="6">SUM(F33/G33)</f>
        <v>86.499338650362461</v>
      </c>
    </row>
    <row r="34" spans="1:9" s="100" customFormat="1" ht="24">
      <c r="A34" s="575" t="s">
        <v>210</v>
      </c>
      <c r="B34" s="98">
        <v>5212282.6100000003</v>
      </c>
      <c r="C34" s="98">
        <v>48900.12</v>
      </c>
      <c r="D34" s="98">
        <v>469856.06</v>
      </c>
      <c r="E34" s="98">
        <v>423590.1</v>
      </c>
      <c r="F34" s="98">
        <f t="shared" si="5"/>
        <v>6154628.8899999997</v>
      </c>
      <c r="G34" s="59">
        <v>308923</v>
      </c>
      <c r="H34" s="582" t="s">
        <v>218</v>
      </c>
      <c r="I34" s="98">
        <f t="shared" si="6"/>
        <v>19.922857443440599</v>
      </c>
    </row>
    <row r="35" spans="1:9" s="100" customFormat="1" ht="24">
      <c r="A35" s="576" t="s">
        <v>211</v>
      </c>
      <c r="B35" s="98">
        <v>10424565.23</v>
      </c>
      <c r="C35" s="98">
        <v>146700.35999999999</v>
      </c>
      <c r="D35" s="98">
        <v>313237.37</v>
      </c>
      <c r="E35" s="98">
        <v>282393.40000000002</v>
      </c>
      <c r="F35" s="98">
        <f t="shared" si="5"/>
        <v>11166896.359999999</v>
      </c>
      <c r="G35" s="59">
        <v>710</v>
      </c>
      <c r="H35" s="582" t="s">
        <v>69</v>
      </c>
      <c r="I35" s="98">
        <f t="shared" si="6"/>
        <v>15728.023042253521</v>
      </c>
    </row>
    <row r="36" spans="1:9" s="100" customFormat="1" ht="24">
      <c r="A36" s="576" t="s">
        <v>212</v>
      </c>
      <c r="B36" s="98">
        <v>8687137.6899999995</v>
      </c>
      <c r="C36" s="98">
        <v>146700.35999999999</v>
      </c>
      <c r="D36" s="98">
        <v>234928.03</v>
      </c>
      <c r="E36" s="98">
        <v>282393.40000000002</v>
      </c>
      <c r="F36" s="98">
        <f t="shared" si="5"/>
        <v>9351159.4799999986</v>
      </c>
      <c r="G36" s="59">
        <v>5465</v>
      </c>
      <c r="H36" s="582" t="s">
        <v>70</v>
      </c>
      <c r="I36" s="98">
        <f t="shared" si="6"/>
        <v>1711.0996303751142</v>
      </c>
    </row>
    <row r="37" spans="1:9" s="100" customFormat="1" ht="24">
      <c r="A37" s="576" t="s">
        <v>213</v>
      </c>
      <c r="B37" s="98">
        <v>5212282.6100000003</v>
      </c>
      <c r="C37" s="98">
        <v>97800.24</v>
      </c>
      <c r="D37" s="98">
        <v>234928.03</v>
      </c>
      <c r="E37" s="98">
        <v>282393.42</v>
      </c>
      <c r="F37" s="98">
        <f t="shared" si="5"/>
        <v>5827404.3000000007</v>
      </c>
      <c r="G37" s="59">
        <v>812</v>
      </c>
      <c r="H37" s="582" t="s">
        <v>69</v>
      </c>
      <c r="I37" s="98">
        <f t="shared" si="6"/>
        <v>7176.6062807881781</v>
      </c>
    </row>
    <row r="38" spans="1:9" s="100" customFormat="1" ht="24">
      <c r="A38" s="576" t="s">
        <v>214</v>
      </c>
      <c r="B38" s="98">
        <v>10078984.01</v>
      </c>
      <c r="C38" s="98">
        <v>0</v>
      </c>
      <c r="D38" s="98">
        <v>501863.39</v>
      </c>
      <c r="E38" s="98">
        <v>3180073.37</v>
      </c>
      <c r="F38" s="98">
        <f t="shared" si="5"/>
        <v>13760920.77</v>
      </c>
      <c r="G38" s="59">
        <v>1</v>
      </c>
      <c r="H38" s="582" t="s">
        <v>10</v>
      </c>
      <c r="I38" s="98">
        <f t="shared" si="6"/>
        <v>13760920.77</v>
      </c>
    </row>
    <row r="39" spans="1:9" s="100" customFormat="1" ht="24">
      <c r="A39" s="576" t="s">
        <v>215</v>
      </c>
      <c r="B39" s="98">
        <v>30629535.600000001</v>
      </c>
      <c r="C39" s="98">
        <v>441778.72</v>
      </c>
      <c r="D39" s="98">
        <v>1211864.44</v>
      </c>
      <c r="E39" s="98">
        <v>422290.41</v>
      </c>
      <c r="F39" s="98">
        <f t="shared" si="5"/>
        <v>32705469.170000002</v>
      </c>
      <c r="G39" s="59">
        <v>23</v>
      </c>
      <c r="H39" s="582" t="s">
        <v>71</v>
      </c>
      <c r="I39" s="98">
        <f t="shared" si="6"/>
        <v>1421976.9204347827</v>
      </c>
    </row>
    <row r="40" spans="1:9" s="100" customFormat="1" ht="24">
      <c r="A40" s="577" t="s">
        <v>216</v>
      </c>
      <c r="B40" s="98">
        <v>8469152.7300000004</v>
      </c>
      <c r="C40" s="98">
        <v>0</v>
      </c>
      <c r="D40" s="98">
        <v>170187.59</v>
      </c>
      <c r="E40" s="98">
        <v>131522.75</v>
      </c>
      <c r="F40" s="98">
        <f t="shared" si="5"/>
        <v>8770863.0700000003</v>
      </c>
      <c r="G40" s="59">
        <v>200</v>
      </c>
      <c r="H40" s="582" t="s">
        <v>68</v>
      </c>
      <c r="I40" s="98">
        <f t="shared" si="6"/>
        <v>43854.315350000004</v>
      </c>
    </row>
    <row r="41" spans="1:9" s="100" customFormat="1" ht="24">
      <c r="A41" s="571" t="s">
        <v>267</v>
      </c>
      <c r="B41" s="98">
        <v>10008998.689999999</v>
      </c>
      <c r="C41" s="98">
        <v>0</v>
      </c>
      <c r="D41" s="98">
        <v>201130.79</v>
      </c>
      <c r="E41" s="98">
        <v>155435.97</v>
      </c>
      <c r="F41" s="98">
        <f t="shared" ref="F41:F45" si="7">SUM(B41:E41)</f>
        <v>10365565.449999999</v>
      </c>
      <c r="G41" s="59">
        <v>20</v>
      </c>
      <c r="H41" s="582" t="s">
        <v>108</v>
      </c>
      <c r="I41" s="98">
        <f>SUM(F41/G41)</f>
        <v>518278.27249999996</v>
      </c>
    </row>
    <row r="42" spans="1:9" s="100" customFormat="1" ht="24">
      <c r="A42" s="571" t="s">
        <v>283</v>
      </c>
      <c r="B42" s="98">
        <f>48505147.48+84607.71+1371070.65</f>
        <v>49960825.839999996</v>
      </c>
      <c r="C42" s="98">
        <f>3650654.91-101920.12</f>
        <v>3548734.79</v>
      </c>
      <c r="D42" s="98">
        <f>974710.76+75820.52</f>
        <v>1050531.28</v>
      </c>
      <c r="E42" s="98">
        <f>753266.63+17312.4+44235.91</f>
        <v>814814.94000000006</v>
      </c>
      <c r="F42" s="98">
        <f t="shared" si="7"/>
        <v>55374906.849999994</v>
      </c>
      <c r="G42" s="59">
        <v>60</v>
      </c>
      <c r="H42" s="582" t="s">
        <v>108</v>
      </c>
      <c r="I42" s="98">
        <f>SUM(F42/G42)</f>
        <v>922915.11416666652</v>
      </c>
    </row>
    <row r="43" spans="1:9" s="100" customFormat="1" ht="24">
      <c r="A43" s="578" t="s">
        <v>268</v>
      </c>
      <c r="B43" s="98">
        <f>43885609.62+1371070.65</f>
        <v>45256680.269999996</v>
      </c>
      <c r="C43" s="98">
        <v>0</v>
      </c>
      <c r="D43" s="98">
        <f>881881.15+75820.52</f>
        <v>957701.67</v>
      </c>
      <c r="E43" s="98">
        <f>681526.95+44235.91</f>
        <v>725762.86</v>
      </c>
      <c r="F43" s="98">
        <f t="shared" si="7"/>
        <v>46940144.799999997</v>
      </c>
      <c r="G43" s="59">
        <v>56</v>
      </c>
      <c r="H43" s="582" t="s">
        <v>108</v>
      </c>
      <c r="I43" s="98">
        <f t="shared" si="6"/>
        <v>838216.87142857141</v>
      </c>
    </row>
    <row r="44" spans="1:9" s="100" customFormat="1" ht="24">
      <c r="A44" s="578" t="s">
        <v>269</v>
      </c>
      <c r="B44" s="98">
        <v>34646533.909999996</v>
      </c>
      <c r="C44" s="98">
        <v>0</v>
      </c>
      <c r="D44" s="98">
        <v>696221.96</v>
      </c>
      <c r="E44" s="98">
        <v>538047.59</v>
      </c>
      <c r="F44" s="98">
        <f t="shared" si="7"/>
        <v>35880803.460000001</v>
      </c>
      <c r="G44" s="59">
        <v>14250</v>
      </c>
      <c r="H44" s="582" t="s">
        <v>68</v>
      </c>
      <c r="I44" s="98">
        <f t="shared" si="6"/>
        <v>2517.9511200000002</v>
      </c>
    </row>
    <row r="45" spans="1:9" s="100" customFormat="1" ht="24">
      <c r="A45" s="578" t="s">
        <v>302</v>
      </c>
      <c r="B45" s="98">
        <f>8469152.74+1371070.66</f>
        <v>9840223.4000000004</v>
      </c>
      <c r="C45" s="98">
        <v>0</v>
      </c>
      <c r="D45" s="98">
        <f>170187.59+75820.53</f>
        <v>246008.12</v>
      </c>
      <c r="E45" s="98">
        <f>131522.75+44235.91</f>
        <v>175758.66</v>
      </c>
      <c r="F45" s="98">
        <f t="shared" si="7"/>
        <v>10261990.18</v>
      </c>
      <c r="G45" s="59">
        <v>540</v>
      </c>
      <c r="H45" s="582" t="s">
        <v>108</v>
      </c>
      <c r="I45" s="98">
        <f t="shared" si="6"/>
        <v>19003.68551851852</v>
      </c>
    </row>
    <row r="46" spans="1:9" s="100" customFormat="1" ht="24">
      <c r="A46" s="576" t="s">
        <v>479</v>
      </c>
      <c r="B46" s="98">
        <v>14398785.859999999</v>
      </c>
      <c r="C46" s="98">
        <v>61552.4</v>
      </c>
      <c r="D46" s="98">
        <v>743976.63</v>
      </c>
      <c r="E46" s="98">
        <v>403482.89</v>
      </c>
      <c r="F46" s="98">
        <f t="shared" si="5"/>
        <v>15607797.780000001</v>
      </c>
      <c r="G46" s="59">
        <v>111</v>
      </c>
      <c r="H46" s="99" t="s">
        <v>72</v>
      </c>
      <c r="I46" s="98">
        <f t="shared" si="6"/>
        <v>140610.79081081081</v>
      </c>
    </row>
    <row r="47" spans="1:9" s="100" customFormat="1" ht="24">
      <c r="A47" s="576" t="s">
        <v>480</v>
      </c>
      <c r="B47" s="98">
        <v>0</v>
      </c>
      <c r="C47" s="98">
        <v>0</v>
      </c>
      <c r="D47" s="98">
        <v>0</v>
      </c>
      <c r="E47" s="98">
        <v>0</v>
      </c>
      <c r="F47" s="98">
        <v>0</v>
      </c>
      <c r="G47" s="59">
        <v>0</v>
      </c>
      <c r="H47" s="99" t="s">
        <v>70</v>
      </c>
      <c r="I47" s="98">
        <v>0</v>
      </c>
    </row>
    <row r="48" spans="1:9" s="100" customFormat="1" ht="24">
      <c r="A48" s="576" t="s">
        <v>481</v>
      </c>
      <c r="B48" s="98">
        <v>0</v>
      </c>
      <c r="C48" s="98">
        <v>0</v>
      </c>
      <c r="D48" s="98">
        <v>0</v>
      </c>
      <c r="E48" s="98">
        <v>0</v>
      </c>
      <c r="F48" s="98">
        <v>0</v>
      </c>
      <c r="G48" s="59">
        <v>0</v>
      </c>
      <c r="H48" s="99" t="s">
        <v>70</v>
      </c>
      <c r="I48" s="98">
        <v>0</v>
      </c>
    </row>
    <row r="49" spans="1:9" s="100" customFormat="1" ht="24">
      <c r="A49" s="576" t="s">
        <v>482</v>
      </c>
      <c r="B49" s="98">
        <v>8639271.5199999996</v>
      </c>
      <c r="C49" s="98">
        <v>36931.440000000002</v>
      </c>
      <c r="D49" s="98">
        <v>446385.98</v>
      </c>
      <c r="E49" s="98">
        <v>242089.73</v>
      </c>
      <c r="F49" s="98">
        <f t="shared" si="5"/>
        <v>9364678.6699999999</v>
      </c>
      <c r="G49" s="59">
        <v>685</v>
      </c>
      <c r="H49" s="99" t="s">
        <v>68</v>
      </c>
      <c r="I49" s="98">
        <f t="shared" si="6"/>
        <v>13671.063751824817</v>
      </c>
    </row>
    <row r="50" spans="1:9" s="100" customFormat="1" ht="24">
      <c r="A50" s="571" t="s">
        <v>483</v>
      </c>
      <c r="B50" s="98">
        <v>5759514.3499999996</v>
      </c>
      <c r="C50" s="98">
        <v>24620.959999999999</v>
      </c>
      <c r="D50" s="98">
        <v>297590.65000000002</v>
      </c>
      <c r="E50" s="98">
        <v>161393.15</v>
      </c>
      <c r="F50" s="98">
        <f t="shared" si="5"/>
        <v>6243119.1100000003</v>
      </c>
      <c r="G50" s="59">
        <v>1</v>
      </c>
      <c r="H50" s="99" t="s">
        <v>71</v>
      </c>
      <c r="I50" s="98">
        <f t="shared" si="6"/>
        <v>6243119.1100000003</v>
      </c>
    </row>
    <row r="51" spans="1:9" s="100" customFormat="1" ht="24">
      <c r="A51" s="579" t="s">
        <v>484</v>
      </c>
      <c r="B51" s="103">
        <v>8639271.5199999996</v>
      </c>
      <c r="C51" s="103">
        <v>36931.440000000002</v>
      </c>
      <c r="D51" s="103">
        <v>446385.98</v>
      </c>
      <c r="E51" s="103">
        <v>242089.73</v>
      </c>
      <c r="F51" s="103">
        <f t="shared" si="5"/>
        <v>9364678.6699999999</v>
      </c>
      <c r="G51" s="104">
        <v>21</v>
      </c>
      <c r="H51" s="105" t="s">
        <v>69</v>
      </c>
      <c r="I51" s="103">
        <f t="shared" si="6"/>
        <v>445937.07952380955</v>
      </c>
    </row>
    <row r="52" spans="1:9" s="100" customFormat="1" ht="24">
      <c r="A52" s="576" t="s">
        <v>485</v>
      </c>
      <c r="B52" s="98">
        <v>8639271.5199999996</v>
      </c>
      <c r="C52" s="98">
        <v>36931.440000000002</v>
      </c>
      <c r="D52" s="98">
        <v>446385.98</v>
      </c>
      <c r="E52" s="98">
        <v>242089.73</v>
      </c>
      <c r="F52" s="98">
        <f t="shared" si="5"/>
        <v>9364678.6699999999</v>
      </c>
      <c r="G52" s="59">
        <v>23</v>
      </c>
      <c r="H52" s="99" t="s">
        <v>69</v>
      </c>
      <c r="I52" s="98">
        <f t="shared" si="6"/>
        <v>407159.94217391306</v>
      </c>
    </row>
    <row r="53" spans="1:9" s="100" customFormat="1" ht="24">
      <c r="A53" s="576" t="s">
        <v>486</v>
      </c>
      <c r="B53" s="98">
        <v>0</v>
      </c>
      <c r="C53" s="98">
        <v>0</v>
      </c>
      <c r="D53" s="98">
        <v>0</v>
      </c>
      <c r="E53" s="98">
        <v>0</v>
      </c>
      <c r="F53" s="98">
        <f t="shared" si="5"/>
        <v>0</v>
      </c>
      <c r="G53" s="59">
        <v>0</v>
      </c>
      <c r="H53" s="99" t="s">
        <v>69</v>
      </c>
      <c r="I53" s="98">
        <v>0</v>
      </c>
    </row>
    <row r="54" spans="1:9" s="100" customFormat="1" ht="24">
      <c r="A54" s="576" t="s">
        <v>487</v>
      </c>
      <c r="B54" s="98">
        <v>5759514.3499999996</v>
      </c>
      <c r="C54" s="98">
        <v>24620.959999999999</v>
      </c>
      <c r="D54" s="98">
        <v>297590.64</v>
      </c>
      <c r="E54" s="98">
        <v>161393.15</v>
      </c>
      <c r="F54" s="98">
        <f t="shared" si="5"/>
        <v>6243119.0999999996</v>
      </c>
      <c r="G54" s="59">
        <v>9</v>
      </c>
      <c r="H54" s="99" t="s">
        <v>282</v>
      </c>
      <c r="I54" s="98">
        <f t="shared" si="6"/>
        <v>693679.89999999991</v>
      </c>
    </row>
    <row r="55" spans="1:9" s="100" customFormat="1" ht="24">
      <c r="A55" s="580" t="s">
        <v>488</v>
      </c>
      <c r="B55" s="293">
        <v>5759514.3499999996</v>
      </c>
      <c r="C55" s="98">
        <v>24620.959999999999</v>
      </c>
      <c r="D55" s="98">
        <v>297590.64</v>
      </c>
      <c r="E55" s="98">
        <v>161393.15</v>
      </c>
      <c r="F55" s="98">
        <f t="shared" si="5"/>
        <v>6243119.0999999996</v>
      </c>
      <c r="G55" s="59">
        <v>27</v>
      </c>
      <c r="H55" s="99" t="s">
        <v>108</v>
      </c>
      <c r="I55" s="98">
        <f t="shared" si="6"/>
        <v>231226.63333333333</v>
      </c>
    </row>
    <row r="56" spans="1:9" s="100" customFormat="1" ht="24">
      <c r="A56" s="576" t="s">
        <v>489</v>
      </c>
      <c r="B56" s="500">
        <f>16527168.22*60/100</f>
        <v>9916300.932</v>
      </c>
      <c r="C56" s="98">
        <f>175055.38*60/100</f>
        <v>105033.228</v>
      </c>
      <c r="D56" s="98">
        <f>1443771.65*60/100</f>
        <v>866262.99</v>
      </c>
      <c r="E56" s="98">
        <f>1117399.47*60/100</f>
        <v>670439.68199999991</v>
      </c>
      <c r="F56" s="98">
        <f t="shared" si="5"/>
        <v>11558036.832</v>
      </c>
      <c r="G56" s="59">
        <v>222981</v>
      </c>
      <c r="H56" s="99" t="s">
        <v>73</v>
      </c>
      <c r="I56" s="98">
        <f t="shared" si="6"/>
        <v>51.834177943412222</v>
      </c>
    </row>
    <row r="57" spans="1:9" s="100" customFormat="1" ht="24">
      <c r="A57" s="576" t="s">
        <v>490</v>
      </c>
      <c r="B57" s="103">
        <f>16527168.22*40/100</f>
        <v>6610867.2880000006</v>
      </c>
      <c r="C57" s="98">
        <f>175055.38*40/100</f>
        <v>70022.152000000002</v>
      </c>
      <c r="D57" s="98">
        <f>1443771.65*40/100</f>
        <v>577508.66</v>
      </c>
      <c r="E57" s="98">
        <f>1117399.47*40/100</f>
        <v>446959.78799999994</v>
      </c>
      <c r="F57" s="98">
        <f t="shared" si="5"/>
        <v>7705357.8880000003</v>
      </c>
      <c r="G57" s="59">
        <v>875</v>
      </c>
      <c r="H57" s="106" t="s">
        <v>89</v>
      </c>
      <c r="I57" s="98">
        <f t="shared" si="6"/>
        <v>8806.1233005714294</v>
      </c>
    </row>
    <row r="58" spans="1:9" s="100" customFormat="1" ht="24">
      <c r="A58" s="576" t="s">
        <v>491</v>
      </c>
      <c r="B58" s="98">
        <v>8527421.0700000003</v>
      </c>
      <c r="C58" s="98">
        <v>112860.25</v>
      </c>
      <c r="D58" s="98">
        <v>470593.75</v>
      </c>
      <c r="E58" s="98">
        <v>287488.77</v>
      </c>
      <c r="F58" s="98">
        <f t="shared" si="5"/>
        <v>9398363.8399999999</v>
      </c>
      <c r="G58" s="59">
        <v>2630</v>
      </c>
      <c r="H58" s="99" t="s">
        <v>74</v>
      </c>
      <c r="I58" s="98">
        <f t="shared" si="6"/>
        <v>3573.522372623574</v>
      </c>
    </row>
    <row r="59" spans="1:9" s="100" customFormat="1" ht="24">
      <c r="A59" s="576" t="s">
        <v>492</v>
      </c>
      <c r="B59" s="98">
        <v>19897315.82</v>
      </c>
      <c r="C59" s="98">
        <v>263340.58</v>
      </c>
      <c r="D59" s="98">
        <v>1098052.08</v>
      </c>
      <c r="E59" s="98">
        <v>670807.13</v>
      </c>
      <c r="F59" s="98">
        <f t="shared" si="5"/>
        <v>21929515.609999996</v>
      </c>
      <c r="G59" s="59">
        <v>47612</v>
      </c>
      <c r="H59" s="106" t="s">
        <v>217</v>
      </c>
      <c r="I59" s="98">
        <f t="shared" si="6"/>
        <v>460.5879948332352</v>
      </c>
    </row>
    <row r="60" spans="1:9" s="100" customFormat="1" ht="24">
      <c r="A60" s="576" t="s">
        <v>493</v>
      </c>
      <c r="B60" s="98">
        <v>6445502.8600000003</v>
      </c>
      <c r="C60" s="98">
        <v>202052.12</v>
      </c>
      <c r="D60" s="98">
        <v>501694.99</v>
      </c>
      <c r="E60" s="98">
        <v>429521.72</v>
      </c>
      <c r="F60" s="98">
        <f t="shared" si="5"/>
        <v>7578771.6900000004</v>
      </c>
      <c r="G60" s="59">
        <v>4767</v>
      </c>
      <c r="H60" s="99" t="s">
        <v>70</v>
      </c>
      <c r="I60" s="98">
        <f t="shared" si="6"/>
        <v>1589.8409251101323</v>
      </c>
    </row>
    <row r="61" spans="1:9" s="100" customFormat="1" ht="24">
      <c r="A61" s="576" t="s">
        <v>494</v>
      </c>
      <c r="B61" s="98">
        <v>8964072.8800000008</v>
      </c>
      <c r="C61" s="98">
        <v>256586.93</v>
      </c>
      <c r="D61" s="98">
        <v>545570.65</v>
      </c>
      <c r="E61" s="98">
        <v>358061.72</v>
      </c>
      <c r="F61" s="98">
        <f t="shared" si="5"/>
        <v>10124292.180000002</v>
      </c>
      <c r="G61" s="59">
        <v>906</v>
      </c>
      <c r="H61" s="99" t="s">
        <v>69</v>
      </c>
      <c r="I61" s="98">
        <f t="shared" si="6"/>
        <v>11174.715430463579</v>
      </c>
    </row>
    <row r="62" spans="1:9" s="100" customFormat="1" ht="24">
      <c r="A62" s="576" t="s">
        <v>495</v>
      </c>
      <c r="B62" s="98">
        <v>8088951.1200000001</v>
      </c>
      <c r="C62" s="98">
        <v>25500.55</v>
      </c>
      <c r="D62" s="98">
        <v>297814.65999999997</v>
      </c>
      <c r="E62" s="98">
        <v>214489.07</v>
      </c>
      <c r="F62" s="98">
        <f t="shared" si="5"/>
        <v>8626755.4000000004</v>
      </c>
      <c r="G62" s="59">
        <v>1</v>
      </c>
      <c r="H62" s="99" t="s">
        <v>10</v>
      </c>
      <c r="I62" s="98">
        <f t="shared" si="6"/>
        <v>8626755.4000000004</v>
      </c>
    </row>
    <row r="63" spans="1:9" s="100" customFormat="1" ht="24">
      <c r="A63" s="576" t="s">
        <v>496</v>
      </c>
      <c r="B63" s="98">
        <v>3466693.33</v>
      </c>
      <c r="C63" s="98">
        <v>10928.8</v>
      </c>
      <c r="D63" s="98">
        <v>127634.86</v>
      </c>
      <c r="E63" s="98">
        <v>91923.89</v>
      </c>
      <c r="F63" s="98">
        <f t="shared" si="5"/>
        <v>3697180.88</v>
      </c>
      <c r="G63" s="59">
        <v>92</v>
      </c>
      <c r="H63" s="99" t="s">
        <v>75</v>
      </c>
      <c r="I63" s="98">
        <f t="shared" si="6"/>
        <v>40186.748695652175</v>
      </c>
    </row>
    <row r="64" spans="1:9" s="100" customFormat="1" ht="24">
      <c r="A64" s="576" t="s">
        <v>497</v>
      </c>
      <c r="B64" s="98">
        <v>5103044.58</v>
      </c>
      <c r="C64" s="98">
        <v>12077.64</v>
      </c>
      <c r="D64" s="98">
        <v>356038.52</v>
      </c>
      <c r="E64" s="55">
        <v>298079.57</v>
      </c>
      <c r="F64" s="98">
        <f>SUM(B64:E64)</f>
        <v>5769240.3100000005</v>
      </c>
      <c r="G64" s="59">
        <v>1720</v>
      </c>
      <c r="H64" s="106" t="s">
        <v>178</v>
      </c>
      <c r="I64" s="98">
        <f t="shared" si="6"/>
        <v>3354.2094825581398</v>
      </c>
    </row>
    <row r="65" spans="1:9" s="100" customFormat="1" ht="24">
      <c r="A65" s="576" t="s">
        <v>498</v>
      </c>
      <c r="B65" s="98">
        <v>7808233.5300000003</v>
      </c>
      <c r="C65" s="98">
        <v>4133.6000000000004</v>
      </c>
      <c r="D65" s="98">
        <v>355874.92</v>
      </c>
      <c r="E65" s="98">
        <v>243730.18</v>
      </c>
      <c r="F65" s="98">
        <f>SUM(B65:E65)</f>
        <v>8411972.2300000004</v>
      </c>
      <c r="G65" s="59">
        <v>1605</v>
      </c>
      <c r="H65" s="99" t="s">
        <v>69</v>
      </c>
      <c r="I65" s="98">
        <f t="shared" si="6"/>
        <v>5241.1041931464179</v>
      </c>
    </row>
    <row r="66" spans="1:9" s="100" customFormat="1" ht="24">
      <c r="A66" s="576" t="s">
        <v>499</v>
      </c>
      <c r="B66" s="98">
        <v>6047390.4100000001</v>
      </c>
      <c r="C66" s="98">
        <v>0</v>
      </c>
      <c r="D66" s="98">
        <v>301118.03000000003</v>
      </c>
      <c r="E66" s="98">
        <v>1908044.02</v>
      </c>
      <c r="F66" s="98">
        <f t="shared" si="5"/>
        <v>8256552.4600000009</v>
      </c>
      <c r="G66" s="59">
        <v>5594</v>
      </c>
      <c r="H66" s="106" t="s">
        <v>91</v>
      </c>
      <c r="I66" s="98">
        <f t="shared" si="6"/>
        <v>1475.9657597425814</v>
      </c>
    </row>
    <row r="67" spans="1:9" s="100" customFormat="1" ht="24">
      <c r="A67" s="576" t="s">
        <v>500</v>
      </c>
      <c r="B67" s="98">
        <v>4031593.6</v>
      </c>
      <c r="C67" s="98">
        <v>0</v>
      </c>
      <c r="D67" s="98">
        <v>200745.35</v>
      </c>
      <c r="E67" s="98">
        <v>1272029.3500000001</v>
      </c>
      <c r="F67" s="98">
        <f>SUM(B67:E67)</f>
        <v>5504368.3000000007</v>
      </c>
      <c r="G67" s="59">
        <v>1</v>
      </c>
      <c r="H67" s="99" t="s">
        <v>118</v>
      </c>
      <c r="I67" s="98">
        <f>SUM(F67/G67)</f>
        <v>5504368.3000000007</v>
      </c>
    </row>
    <row r="68" spans="1:9" s="113" customFormat="1" ht="28.5" thickBot="1">
      <c r="A68" s="109" t="s">
        <v>50</v>
      </c>
      <c r="B68" s="110">
        <f>SUM(B9+B30)</f>
        <v>2053058134.99</v>
      </c>
      <c r="C68" s="110">
        <f>SUM(C9+C30)</f>
        <v>14900172.280000001</v>
      </c>
      <c r="D68" s="581">
        <f>SUM(D9+D30)</f>
        <v>99371411.75</v>
      </c>
      <c r="E68" s="110">
        <f>SUM(E9+E30)</f>
        <v>242606051.04999998</v>
      </c>
      <c r="F68" s="110">
        <f>SUM(F9+F30)</f>
        <v>2409935770.0699997</v>
      </c>
      <c r="G68" s="111"/>
      <c r="H68" s="112"/>
      <c r="I68" s="110"/>
    </row>
    <row r="69" spans="1:9" ht="22.5" thickTop="1"/>
    <row r="71" spans="1:9">
      <c r="A71" s="574"/>
      <c r="B71" s="573"/>
      <c r="C71" s="573"/>
      <c r="D71" s="573"/>
      <c r="E71" s="573"/>
    </row>
    <row r="77" spans="1:9">
      <c r="E77" s="138"/>
      <c r="F77" s="107"/>
    </row>
    <row r="78" spans="1:9">
      <c r="E78" s="138"/>
      <c r="H78" s="108"/>
    </row>
  </sheetData>
  <mergeCells count="3">
    <mergeCell ref="A1:I1"/>
    <mergeCell ref="A2:I2"/>
    <mergeCell ref="A3:I3"/>
  </mergeCells>
  <pageMargins left="0.31496062992125984" right="0.31496062992125984" top="0.31496062992125984" bottom="0.35433070866141736" header="0.19685039370078741" footer="0.15748031496062992"/>
  <pageSetup paperSize="9" scale="61" orientation="landscape" r:id="rId1"/>
  <headerFooter>
    <oddFooter>&amp;C&amp;P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rgb="FFFFFF00"/>
  </sheetPr>
  <dimension ref="A1:L30"/>
  <sheetViews>
    <sheetView workbookViewId="0">
      <selection activeCell="A28" sqref="A28"/>
    </sheetView>
  </sheetViews>
  <sheetFormatPr defaultRowHeight="24"/>
  <cols>
    <col min="1" max="1" width="61.140625" style="27" customWidth="1"/>
    <col min="2" max="2" width="19.85546875" style="27" bestFit="1" customWidth="1"/>
    <col min="3" max="3" width="19.140625" style="27" bestFit="1" customWidth="1"/>
    <col min="4" max="5" width="16.5703125" style="27" bestFit="1" customWidth="1"/>
    <col min="6" max="6" width="18.28515625" style="27" bestFit="1" customWidth="1"/>
    <col min="7" max="7" width="14.28515625" style="147" bestFit="1" customWidth="1"/>
    <col min="8" max="8" width="11.5703125" style="27" customWidth="1"/>
    <col min="9" max="9" width="15.140625" style="27" bestFit="1" customWidth="1"/>
    <col min="10" max="10" width="12.42578125" style="27" bestFit="1" customWidth="1"/>
    <col min="11" max="12" width="23.85546875" style="27" bestFit="1" customWidth="1"/>
    <col min="13" max="13" width="21.7109375" style="27" bestFit="1" customWidth="1"/>
    <col min="14" max="16384" width="9.140625" style="27"/>
  </cols>
  <sheetData>
    <row r="1" spans="1:9" s="47" customFormat="1" ht="27.75">
      <c r="A1" s="593" t="s">
        <v>177</v>
      </c>
      <c r="B1" s="593"/>
      <c r="C1" s="593"/>
      <c r="D1" s="593"/>
      <c r="E1" s="593"/>
      <c r="F1" s="593"/>
      <c r="G1" s="593"/>
      <c r="H1" s="593"/>
      <c r="I1" s="593"/>
    </row>
    <row r="2" spans="1:9" s="47" customFormat="1" ht="27.75">
      <c r="A2" s="593" t="s">
        <v>253</v>
      </c>
      <c r="B2" s="593"/>
      <c r="C2" s="593"/>
      <c r="D2" s="593"/>
      <c r="E2" s="593"/>
      <c r="F2" s="593"/>
      <c r="G2" s="593"/>
      <c r="H2" s="593"/>
      <c r="I2" s="593"/>
    </row>
    <row r="3" spans="1:9" s="47" customFormat="1" ht="27.75">
      <c r="A3" s="593" t="s">
        <v>277</v>
      </c>
      <c r="B3" s="593"/>
      <c r="C3" s="593"/>
      <c r="D3" s="593"/>
      <c r="E3" s="593"/>
      <c r="F3" s="593"/>
      <c r="G3" s="593"/>
      <c r="H3" s="593"/>
      <c r="I3" s="593"/>
    </row>
    <row r="4" spans="1:9" s="29" customFormat="1" ht="27.75">
      <c r="A4" s="255" t="s">
        <v>220</v>
      </c>
      <c r="B4" s="114"/>
      <c r="C4" s="114"/>
      <c r="D4" s="101"/>
      <c r="E4" s="439"/>
      <c r="F4" s="114"/>
      <c r="G4" s="246"/>
    </row>
    <row r="5" spans="1:9" s="24" customFormat="1">
      <c r="A5" s="61"/>
      <c r="B5" s="101"/>
      <c r="C5" s="101"/>
      <c r="D5" s="101"/>
      <c r="E5" s="101"/>
      <c r="F5" s="101"/>
      <c r="G5" s="140"/>
      <c r="I5" s="60" t="s">
        <v>59</v>
      </c>
    </row>
    <row r="6" spans="1:9" s="36" customFormat="1">
      <c r="A6" s="34" t="s">
        <v>76</v>
      </c>
      <c r="B6" s="35" t="s">
        <v>44</v>
      </c>
      <c r="C6" s="35" t="s">
        <v>45</v>
      </c>
      <c r="D6" s="35" t="s">
        <v>46</v>
      </c>
      <c r="E6" s="173" t="s">
        <v>61</v>
      </c>
      <c r="F6" s="35" t="s">
        <v>62</v>
      </c>
      <c r="G6" s="141" t="s">
        <v>63</v>
      </c>
      <c r="H6" s="35" t="s">
        <v>64</v>
      </c>
      <c r="I6" s="35" t="s">
        <v>65</v>
      </c>
    </row>
    <row r="7" spans="1:9" s="24" customFormat="1">
      <c r="A7" s="19"/>
      <c r="B7" s="19"/>
      <c r="C7" s="19"/>
      <c r="D7" s="19"/>
      <c r="E7" s="19"/>
      <c r="F7" s="19"/>
      <c r="G7" s="142"/>
      <c r="H7" s="19"/>
      <c r="I7" s="19"/>
    </row>
    <row r="8" spans="1:9" s="24" customFormat="1">
      <c r="A8" s="323" t="s">
        <v>351</v>
      </c>
      <c r="B8" s="17">
        <f>2053058134.99*0.1/100</f>
        <v>2053058.1349900002</v>
      </c>
      <c r="C8" s="17">
        <f>14900172.28*0.1/100</f>
        <v>14900.172280000001</v>
      </c>
      <c r="D8" s="17">
        <f>99371411.75*0.1/100</f>
        <v>99371.411750000014</v>
      </c>
      <c r="E8" s="296">
        <f>242606051.05*0.1/100</f>
        <v>242606.05105000004</v>
      </c>
      <c r="F8" s="18">
        <f t="shared" ref="F8" si="0">SUM(B8:E8)</f>
        <v>2409935.7700700001</v>
      </c>
      <c r="G8" s="143">
        <v>589</v>
      </c>
      <c r="H8" s="426" t="s">
        <v>68</v>
      </c>
      <c r="I8" s="20">
        <f t="shared" ref="I8" si="1">SUM(F8/G8)</f>
        <v>4091.5717658234298</v>
      </c>
    </row>
    <row r="9" spans="1:9" s="24" customFormat="1">
      <c r="A9" s="323" t="s">
        <v>383</v>
      </c>
      <c r="B9" s="20"/>
      <c r="C9" s="20"/>
      <c r="D9" s="20"/>
      <c r="E9" s="434"/>
      <c r="F9" s="37"/>
      <c r="G9" s="143"/>
      <c r="H9" s="426"/>
      <c r="I9" s="20"/>
    </row>
    <row r="10" spans="1:9" s="24" customFormat="1">
      <c r="A10" s="253" t="s">
        <v>352</v>
      </c>
      <c r="B10" s="17">
        <f>2053058134.99*22.49/100</f>
        <v>461732774.55925095</v>
      </c>
      <c r="C10" s="17">
        <f>14900172.28*22.49/100</f>
        <v>3351048.7457719995</v>
      </c>
      <c r="D10" s="17">
        <f>99371411.75*22.49/100</f>
        <v>22348630.502574995</v>
      </c>
      <c r="E10" s="296">
        <f>242606051.05*22.49/100</f>
        <v>54562100.881145</v>
      </c>
      <c r="F10" s="18">
        <f t="shared" ref="F10:F24" si="2">SUM(B10:E10)</f>
        <v>541994554.68874288</v>
      </c>
      <c r="G10" s="423">
        <v>149401</v>
      </c>
      <c r="H10" s="412" t="s">
        <v>68</v>
      </c>
      <c r="I10" s="17">
        <f t="shared" ref="I10:I21" si="3">+F10/G10</f>
        <v>3627.7839819595779</v>
      </c>
    </row>
    <row r="11" spans="1:9" s="24" customFormat="1">
      <c r="A11" s="254" t="s">
        <v>353</v>
      </c>
      <c r="B11" s="17">
        <f>2053058134.99*4.13/100</f>
        <v>84791300.975086987</v>
      </c>
      <c r="C11" s="17">
        <f>14900172.28*4.13/100</f>
        <v>615377.11516399996</v>
      </c>
      <c r="D11" s="17">
        <f>99371411.75*4.13/100</f>
        <v>4104039.3052749997</v>
      </c>
      <c r="E11" s="296">
        <f>242606051.05*4.13/100</f>
        <v>10019629.908365</v>
      </c>
      <c r="F11" s="18">
        <f t="shared" si="2"/>
        <v>99530347.303890973</v>
      </c>
      <c r="G11" s="423">
        <v>2210</v>
      </c>
      <c r="H11" s="412" t="s">
        <v>68</v>
      </c>
      <c r="I11" s="17">
        <f t="shared" si="3"/>
        <v>45036.356246104515</v>
      </c>
    </row>
    <row r="12" spans="1:9" s="24" customFormat="1">
      <c r="A12" s="321" t="s">
        <v>354</v>
      </c>
      <c r="B12" s="17">
        <f>2053058134.99*0.6/100</f>
        <v>12318348.809939999</v>
      </c>
      <c r="C12" s="17">
        <f>14900172.28*0.6/100</f>
        <v>89401.033679999993</v>
      </c>
      <c r="D12" s="17">
        <f>99371411.75*0.6/100</f>
        <v>596228.47049999994</v>
      </c>
      <c r="E12" s="296">
        <f>242606051.05*0.6/100</f>
        <v>1455636.3063000001</v>
      </c>
      <c r="F12" s="287">
        <f t="shared" ref="F12:F17" si="4">SUM(B12:E12)</f>
        <v>14459614.620419998</v>
      </c>
      <c r="G12" s="436">
        <v>3604</v>
      </c>
      <c r="H12" s="425" t="s">
        <v>68</v>
      </c>
      <c r="I12" s="68">
        <f>SUM(F12/G12)</f>
        <v>4012.1017259766918</v>
      </c>
    </row>
    <row r="13" spans="1:9" s="24" customFormat="1">
      <c r="A13" s="323" t="s">
        <v>355</v>
      </c>
      <c r="B13" s="17">
        <f>2053058134.99*0.13/100</f>
        <v>2668975.5754869999</v>
      </c>
      <c r="C13" s="17">
        <f>14900172.28*0.13/100</f>
        <v>19370.223964000001</v>
      </c>
      <c r="D13" s="17">
        <f>99371411.75*0.13/100</f>
        <v>129182.835275</v>
      </c>
      <c r="E13" s="296">
        <f>242606051.05*0.13/100</f>
        <v>315387.86636500002</v>
      </c>
      <c r="F13" s="18">
        <f t="shared" si="4"/>
        <v>3132916.5010910002</v>
      </c>
      <c r="G13" s="143">
        <v>59</v>
      </c>
      <c r="H13" s="426" t="s">
        <v>68</v>
      </c>
      <c r="I13" s="20">
        <f>SUM(F13/G13)</f>
        <v>53100.27967950848</v>
      </c>
    </row>
    <row r="14" spans="1:9" s="24" customFormat="1">
      <c r="A14" s="539" t="s">
        <v>384</v>
      </c>
      <c r="B14" s="63"/>
      <c r="C14" s="63"/>
      <c r="D14" s="63"/>
      <c r="E14" s="63"/>
      <c r="F14" s="19">
        <f t="shared" si="4"/>
        <v>0</v>
      </c>
      <c r="G14" s="144"/>
      <c r="H14" s="503"/>
      <c r="I14" s="63"/>
    </row>
    <row r="15" spans="1:9" s="24" customFormat="1">
      <c r="A15" s="321" t="s">
        <v>356</v>
      </c>
      <c r="B15" s="17">
        <f>2053058134.99*0.57/100</f>
        <v>11702431.369442999</v>
      </c>
      <c r="C15" s="17">
        <f>14900172.28*0.57/100</f>
        <v>84930.981995999988</v>
      </c>
      <c r="D15" s="17">
        <f>99371411.75*0.57/100</f>
        <v>566417.04697499995</v>
      </c>
      <c r="E15" s="296">
        <f>242606051.05*0.57/100</f>
        <v>1382854.4909849998</v>
      </c>
      <c r="F15" s="287">
        <f t="shared" si="4"/>
        <v>13736633.889399</v>
      </c>
      <c r="G15" s="436">
        <v>9592</v>
      </c>
      <c r="H15" s="425" t="s">
        <v>68</v>
      </c>
      <c r="I15" s="68">
        <f t="shared" ref="I15:I16" si="5">SUM(F15/G15)</f>
        <v>1432.092774124166</v>
      </c>
    </row>
    <row r="16" spans="1:9" s="24" customFormat="1">
      <c r="A16" s="323" t="s">
        <v>357</v>
      </c>
      <c r="B16" s="17">
        <f>2053058134.99*0.18/100</f>
        <v>3695504.642982</v>
      </c>
      <c r="C16" s="17">
        <f>14900172.28*0.18/100</f>
        <v>26820.310103999996</v>
      </c>
      <c r="D16" s="17">
        <f>99371411.75*0.18/100</f>
        <v>178868.54114999998</v>
      </c>
      <c r="E16" s="296">
        <f>242606051.05*0.18/100</f>
        <v>436690.89189000003</v>
      </c>
      <c r="F16" s="18">
        <f t="shared" si="4"/>
        <v>4337884.3861259995</v>
      </c>
      <c r="G16" s="143">
        <v>87</v>
      </c>
      <c r="H16" s="426" t="s">
        <v>282</v>
      </c>
      <c r="I16" s="20">
        <f t="shared" si="5"/>
        <v>49860.740070413791</v>
      </c>
    </row>
    <row r="17" spans="1:12" s="24" customFormat="1">
      <c r="A17" s="539" t="s">
        <v>385</v>
      </c>
      <c r="B17" s="63"/>
      <c r="C17" s="63"/>
      <c r="D17" s="63"/>
      <c r="E17" s="63"/>
      <c r="F17" s="19">
        <f t="shared" si="4"/>
        <v>0</v>
      </c>
      <c r="G17" s="144"/>
      <c r="H17" s="503"/>
      <c r="I17" s="63"/>
    </row>
    <row r="18" spans="1:12" s="24" customFormat="1">
      <c r="A18" s="254" t="s">
        <v>358</v>
      </c>
      <c r="B18" s="17">
        <f>2053058134.99*3.42/100</f>
        <v>70214588.216657996</v>
      </c>
      <c r="C18" s="17">
        <f>14900172.28*3.42/100</f>
        <v>509585.89197599998</v>
      </c>
      <c r="D18" s="17">
        <f>99371411.75*3.42/100</f>
        <v>3398502.2818499999</v>
      </c>
      <c r="E18" s="296">
        <f>242606051.05*3.42/100</f>
        <v>8297126.9459100012</v>
      </c>
      <c r="F18" s="18">
        <f t="shared" ref="F18" si="6">SUM(B18:E18)</f>
        <v>82419803.336393997</v>
      </c>
      <c r="G18" s="423">
        <v>260</v>
      </c>
      <c r="H18" s="412" t="s">
        <v>282</v>
      </c>
      <c r="I18" s="17">
        <f t="shared" ref="I18" si="7">+F18/G18</f>
        <v>316999.24360151537</v>
      </c>
    </row>
    <row r="19" spans="1:12" s="24" customFormat="1">
      <c r="A19" s="321" t="s">
        <v>359</v>
      </c>
      <c r="B19" s="17">
        <f>2053058134.99*6.8/100</f>
        <v>139607953.17931998</v>
      </c>
      <c r="C19" s="17">
        <f>14900172.28*6.8/100</f>
        <v>1013211.7150399999</v>
      </c>
      <c r="D19" s="17">
        <f>99371411.75*6.8/100</f>
        <v>6757255.9989999998</v>
      </c>
      <c r="E19" s="296">
        <f>242606051.05*6.8/100</f>
        <v>16497211.4714</v>
      </c>
      <c r="F19" s="287">
        <f t="shared" si="2"/>
        <v>163875632.36475998</v>
      </c>
      <c r="G19" s="436">
        <v>10324</v>
      </c>
      <c r="H19" s="412" t="s">
        <v>68</v>
      </c>
      <c r="I19" s="17">
        <f t="shared" si="3"/>
        <v>15873.269310805887</v>
      </c>
    </row>
    <row r="20" spans="1:12">
      <c r="A20" s="323" t="s">
        <v>360</v>
      </c>
      <c r="B20" s="17">
        <f>2053058134.99*3.88/100</f>
        <v>79658655.637612</v>
      </c>
      <c r="C20" s="17">
        <f>14900172.28*3.88/100</f>
        <v>578126.68446399993</v>
      </c>
      <c r="D20" s="17">
        <f>99371411.75*3.88/100</f>
        <v>3855610.7758999998</v>
      </c>
      <c r="E20" s="296">
        <f>242606051.05*3.88/100</f>
        <v>9413114.7807400003</v>
      </c>
      <c r="F20" s="287">
        <f t="shared" si="2"/>
        <v>93505507.878715992</v>
      </c>
      <c r="G20" s="436">
        <v>2273</v>
      </c>
      <c r="H20" s="412" t="s">
        <v>68</v>
      </c>
      <c r="I20" s="17">
        <f t="shared" si="3"/>
        <v>41137.486968198849</v>
      </c>
      <c r="L20" s="24"/>
    </row>
    <row r="21" spans="1:12">
      <c r="A21" s="321" t="s">
        <v>361</v>
      </c>
      <c r="B21" s="17">
        <f>2053058134.99*7.99/100</f>
        <v>164039344.98570099</v>
      </c>
      <c r="C21" s="17">
        <f>14900172.28*7.99/100</f>
        <v>1190523.765172</v>
      </c>
      <c r="D21" s="17">
        <f>99371411.75*7.99/100</f>
        <v>7939775.7988250004</v>
      </c>
      <c r="E21" s="296">
        <f>242606051.05*7.99/100</f>
        <v>19384223.478895001</v>
      </c>
      <c r="F21" s="287">
        <f t="shared" si="2"/>
        <v>192553868.028593</v>
      </c>
      <c r="G21" s="436">
        <v>44001</v>
      </c>
      <c r="H21" s="412" t="s">
        <v>68</v>
      </c>
      <c r="I21" s="17">
        <f t="shared" si="3"/>
        <v>4376.1248159949319</v>
      </c>
      <c r="L21" s="24"/>
    </row>
    <row r="22" spans="1:12" s="132" customFormat="1">
      <c r="A22" s="410" t="s">
        <v>362</v>
      </c>
      <c r="B22" s="17">
        <f>2053058134.99*6.05/100</f>
        <v>124210017.16689499</v>
      </c>
      <c r="C22" s="17">
        <f>14900172.28*6.05/100</f>
        <v>901460.42293999996</v>
      </c>
      <c r="D22" s="17">
        <f>99371411.75*6.05/100</f>
        <v>6011970.4108750001</v>
      </c>
      <c r="E22" s="296">
        <f>242606051.05*6.05/100</f>
        <v>14677666.088524999</v>
      </c>
      <c r="F22" s="287">
        <f t="shared" si="2"/>
        <v>145801114.08923498</v>
      </c>
      <c r="G22" s="436">
        <v>28</v>
      </c>
      <c r="H22" s="412" t="s">
        <v>108</v>
      </c>
      <c r="I22" s="411">
        <f>SUM(F22/G22)</f>
        <v>5207182.6460441062</v>
      </c>
      <c r="J22" s="55"/>
      <c r="K22" s="55"/>
      <c r="L22" s="55"/>
    </row>
    <row r="23" spans="1:12" s="132" customFormat="1">
      <c r="A23" s="540" t="s">
        <v>363</v>
      </c>
      <c r="B23" s="17">
        <f>2053058134.99*3/100</f>
        <v>61591744.049699999</v>
      </c>
      <c r="C23" s="17">
        <f>14900172.28*3/100</f>
        <v>447005.16839999997</v>
      </c>
      <c r="D23" s="17">
        <f>99371411.75*3/100</f>
        <v>2981142.3525</v>
      </c>
      <c r="E23" s="296">
        <f>242606051.05*3/100</f>
        <v>7278181.5315000005</v>
      </c>
      <c r="F23" s="287">
        <f t="shared" si="2"/>
        <v>72298073.1021</v>
      </c>
      <c r="G23" s="436">
        <v>111</v>
      </c>
      <c r="H23" s="412" t="s">
        <v>72</v>
      </c>
      <c r="I23" s="411">
        <f>SUM(F23/G23)</f>
        <v>651333.99191081082</v>
      </c>
      <c r="J23" s="55"/>
      <c r="K23" s="55"/>
      <c r="L23" s="55"/>
    </row>
    <row r="24" spans="1:12" s="132" customFormat="1">
      <c r="A24" s="311" t="s">
        <v>364</v>
      </c>
      <c r="B24" s="17">
        <f>2053058134.99*37.68/100</f>
        <v>773592305.26423204</v>
      </c>
      <c r="C24" s="17">
        <f>14900172.28*37.68/100</f>
        <v>5614384.915103999</v>
      </c>
      <c r="D24" s="17">
        <f>99371411.75*37.68/100</f>
        <v>37443147.947399996</v>
      </c>
      <c r="E24" s="296">
        <f>242606051.05*37.68/100</f>
        <v>91413960.035640016</v>
      </c>
      <c r="F24" s="18">
        <f t="shared" si="2"/>
        <v>908063798.16237605</v>
      </c>
      <c r="G24" s="143">
        <v>4456177</v>
      </c>
      <c r="H24" s="413" t="s">
        <v>68</v>
      </c>
      <c r="I24" s="313">
        <f>SUM(F24/G24)</f>
        <v>203.77642049729533</v>
      </c>
      <c r="J24" s="55"/>
      <c r="K24" s="55"/>
      <c r="L24" s="55"/>
    </row>
    <row r="25" spans="1:12" s="132" customFormat="1">
      <c r="A25" s="414" t="s">
        <v>264</v>
      </c>
      <c r="B25" s="20"/>
      <c r="C25" s="20"/>
      <c r="D25" s="20"/>
      <c r="E25" s="434"/>
      <c r="F25" s="187"/>
      <c r="G25" s="144"/>
      <c r="H25" s="315"/>
      <c r="I25" s="187"/>
      <c r="J25" s="55"/>
      <c r="K25" s="55"/>
      <c r="L25" s="55"/>
    </row>
    <row r="26" spans="1:12" s="132" customFormat="1">
      <c r="A26" s="410" t="s">
        <v>365</v>
      </c>
      <c r="B26" s="17">
        <f>2053058134.99*2.32/100</f>
        <v>47630948.731767997</v>
      </c>
      <c r="C26" s="17">
        <f>14900172.28*2.32/100</f>
        <v>345683.996896</v>
      </c>
      <c r="D26" s="17">
        <f>99371411.75*2.32/100</f>
        <v>2305416.7525999998</v>
      </c>
      <c r="E26" s="296">
        <f>242606051.05*2.32/100</f>
        <v>5628460.3843599996</v>
      </c>
      <c r="F26" s="287">
        <f>SUM(B26:E26)</f>
        <v>55910509.865623996</v>
      </c>
      <c r="G26" s="436">
        <v>15885</v>
      </c>
      <c r="H26" s="412" t="s">
        <v>68</v>
      </c>
      <c r="I26" s="411">
        <f>SUM(F26/G26)</f>
        <v>3519.7047444522505</v>
      </c>
      <c r="J26" s="55"/>
      <c r="K26" s="55"/>
      <c r="L26" s="55"/>
    </row>
    <row r="27" spans="1:12">
      <c r="A27" s="321" t="s">
        <v>366</v>
      </c>
      <c r="B27" s="68">
        <f>2053058134.99*0.66/100</f>
        <v>13550183.690934001</v>
      </c>
      <c r="C27" s="68">
        <f>14900172.28*0.66/100</f>
        <v>98341.137048000004</v>
      </c>
      <c r="D27" s="68">
        <f>99371411.75*0.66/100</f>
        <v>655851.31755000004</v>
      </c>
      <c r="E27" s="502">
        <f>242606051.05*0.66/100</f>
        <v>1601199.9369300001</v>
      </c>
      <c r="F27" s="287">
        <f t="shared" ref="F27" si="8">SUM(B27:E27)</f>
        <v>15905576.082462002</v>
      </c>
      <c r="G27" s="436">
        <v>79</v>
      </c>
      <c r="H27" s="425" t="s">
        <v>282</v>
      </c>
      <c r="I27" s="68">
        <f t="shared" ref="I27" si="9">SUM(F27/G27)</f>
        <v>201336.40610711396</v>
      </c>
    </row>
    <row r="28" spans="1:12" s="24" customFormat="1" ht="24.75" thickBot="1">
      <c r="A28" s="299" t="s">
        <v>50</v>
      </c>
      <c r="B28" s="300">
        <f>+B10+B11+B19+B20+B27+B21+B22+B23+B24+B26+B8+B12+B13+B15+B16+B18</f>
        <v>2053058134.9899998</v>
      </c>
      <c r="C28" s="300">
        <f t="shared" ref="C28:F28" si="10">+C10+C11+C19+C20+C27+C21+C22+C23+C24+C26+C8+C12+C13+C15+C16+C18</f>
        <v>14900172.279999999</v>
      </c>
      <c r="D28" s="300">
        <f t="shared" si="10"/>
        <v>99371411.75</v>
      </c>
      <c r="E28" s="300">
        <f t="shared" si="10"/>
        <v>242606051.05000001</v>
      </c>
      <c r="F28" s="300">
        <f t="shared" si="10"/>
        <v>2409935770.0699997</v>
      </c>
      <c r="G28" s="435">
        <f>+G10+G11+G19+G20+G21+G24+G26+G8+G12+G13+G15</f>
        <v>4694115</v>
      </c>
      <c r="H28" s="301"/>
      <c r="I28" s="300">
        <f>+F28/G28</f>
        <v>513.39512774399429</v>
      </c>
    </row>
    <row r="29" spans="1:12" s="32" customFormat="1" ht="22.5" thickTop="1">
      <c r="G29" s="138"/>
    </row>
    <row r="30" spans="1:12">
      <c r="F30" s="267"/>
    </row>
  </sheetData>
  <mergeCells count="3">
    <mergeCell ref="A1:I1"/>
    <mergeCell ref="A2:I2"/>
    <mergeCell ref="A3:I3"/>
  </mergeCells>
  <pageMargins left="0.15748031496062992" right="0.15748031496062992" top="0.55118110236220474" bottom="0.62992125984251968" header="0.55118110236220474" footer="0.35433070866141736"/>
  <pageSetup paperSize="9" scale="76" orientation="landscape" r:id="rId1"/>
  <headerFooter alignWithMargins="0"/>
  <rowBreaks count="1" manualBreakCount="1">
    <brk id="28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rgb="FFFFFF00"/>
  </sheetPr>
  <dimension ref="A1:M30"/>
  <sheetViews>
    <sheetView workbookViewId="0">
      <selection activeCell="A29" sqref="A29"/>
    </sheetView>
  </sheetViews>
  <sheetFormatPr defaultRowHeight="24"/>
  <cols>
    <col min="1" max="1" width="62.7109375" style="27" customWidth="1"/>
    <col min="2" max="2" width="20" style="27" customWidth="1"/>
    <col min="3" max="3" width="17.7109375" style="27" customWidth="1"/>
    <col min="4" max="5" width="16.42578125" style="27" bestFit="1" customWidth="1"/>
    <col min="6" max="6" width="19.85546875" style="27" customWidth="1"/>
    <col min="7" max="7" width="17" style="25" customWidth="1"/>
    <col min="8" max="8" width="10.7109375" style="27" customWidth="1"/>
    <col min="9" max="9" width="15.85546875" style="27" customWidth="1"/>
    <col min="10" max="10" width="17.7109375" style="27" bestFit="1" customWidth="1"/>
    <col min="11" max="12" width="8.28515625" style="27" bestFit="1" customWidth="1"/>
    <col min="13" max="16384" width="9.140625" style="27"/>
  </cols>
  <sheetData>
    <row r="1" spans="1:13" s="29" customFormat="1" ht="27.75">
      <c r="A1" s="593" t="s">
        <v>177</v>
      </c>
      <c r="B1" s="593"/>
      <c r="C1" s="593"/>
      <c r="D1" s="593"/>
      <c r="E1" s="593"/>
      <c r="F1" s="593"/>
      <c r="G1" s="593"/>
      <c r="H1" s="593"/>
      <c r="I1" s="593"/>
    </row>
    <row r="2" spans="1:13" s="29" customFormat="1" ht="27.75">
      <c r="A2" s="593" t="s">
        <v>253</v>
      </c>
      <c r="B2" s="593"/>
      <c r="C2" s="593"/>
      <c r="D2" s="593"/>
      <c r="E2" s="593"/>
      <c r="F2" s="593"/>
      <c r="G2" s="593"/>
      <c r="H2" s="593"/>
      <c r="I2" s="593"/>
    </row>
    <row r="3" spans="1:13" s="29" customFormat="1" ht="27.75">
      <c r="A3" s="593" t="s">
        <v>277</v>
      </c>
      <c r="B3" s="593"/>
      <c r="C3" s="593"/>
      <c r="D3" s="593"/>
      <c r="E3" s="593"/>
      <c r="F3" s="593"/>
      <c r="G3" s="593"/>
      <c r="H3" s="593"/>
      <c r="I3" s="593"/>
    </row>
    <row r="4" spans="1:13" s="29" customFormat="1" ht="22.5" customHeight="1">
      <c r="A4" s="499"/>
      <c r="B4" s="499"/>
      <c r="C4" s="499"/>
      <c r="D4" s="499"/>
      <c r="E4" s="499"/>
      <c r="F4" s="499"/>
      <c r="G4" s="499"/>
      <c r="H4" s="499"/>
      <c r="I4" s="499"/>
    </row>
    <row r="5" spans="1:13" s="29" customFormat="1" ht="27.75">
      <c r="A5" s="255" t="s">
        <v>219</v>
      </c>
      <c r="G5" s="256"/>
    </row>
    <row r="6" spans="1:13" s="24" customFormat="1">
      <c r="A6" s="61"/>
      <c r="G6" s="33"/>
      <c r="I6" s="60" t="s">
        <v>59</v>
      </c>
    </row>
    <row r="7" spans="1:13" s="36" customFormat="1">
      <c r="A7" s="34" t="s">
        <v>76</v>
      </c>
      <c r="B7" s="35" t="s">
        <v>44</v>
      </c>
      <c r="C7" s="35" t="s">
        <v>45</v>
      </c>
      <c r="D7" s="35" t="s">
        <v>46</v>
      </c>
      <c r="E7" s="173" t="s">
        <v>61</v>
      </c>
      <c r="F7" s="35" t="s">
        <v>62</v>
      </c>
      <c r="G7" s="141" t="s">
        <v>63</v>
      </c>
      <c r="H7" s="35" t="s">
        <v>64</v>
      </c>
      <c r="I7" s="35" t="s">
        <v>65</v>
      </c>
    </row>
    <row r="8" spans="1:13" s="24" customFormat="1">
      <c r="A8" s="19"/>
      <c r="B8" s="19"/>
      <c r="C8" s="19"/>
      <c r="D8" s="19"/>
      <c r="E8" s="19"/>
      <c r="F8" s="19"/>
      <c r="G8" s="142"/>
      <c r="H8" s="19"/>
      <c r="I8" s="19"/>
    </row>
    <row r="9" spans="1:13" s="24" customFormat="1">
      <c r="A9" s="323" t="s">
        <v>351</v>
      </c>
      <c r="B9" s="17">
        <f>2053058134.99*0.1/100</f>
        <v>2053058.1349900002</v>
      </c>
      <c r="C9" s="17">
        <f>14900172.28*0.1/100</f>
        <v>14900.172280000001</v>
      </c>
      <c r="D9" s="17">
        <f>99371411.75*0.1/100</f>
        <v>99371.411750000014</v>
      </c>
      <c r="E9" s="296">
        <f>242606051.05*0.1/100</f>
        <v>242606.05105000004</v>
      </c>
      <c r="F9" s="18">
        <f t="shared" ref="F9" si="0">SUM(B9:E9)</f>
        <v>2409935.7700700001</v>
      </c>
      <c r="G9" s="143">
        <v>589</v>
      </c>
      <c r="H9" s="426" t="s">
        <v>68</v>
      </c>
      <c r="I9" s="20">
        <f t="shared" ref="I9" si="1">SUM(F9/G9)</f>
        <v>4091.5717658234298</v>
      </c>
    </row>
    <row r="10" spans="1:13" s="24" customFormat="1">
      <c r="A10" s="323" t="s">
        <v>383</v>
      </c>
      <c r="B10" s="20"/>
      <c r="C10" s="20"/>
      <c r="D10" s="20"/>
      <c r="E10" s="434"/>
      <c r="F10" s="37"/>
      <c r="G10" s="143"/>
      <c r="H10" s="426"/>
      <c r="I10" s="20"/>
    </row>
    <row r="11" spans="1:13" s="24" customFormat="1">
      <c r="A11" s="253" t="s">
        <v>352</v>
      </c>
      <c r="B11" s="17">
        <f>2053058134.99*22.49/100</f>
        <v>461732774.55925095</v>
      </c>
      <c r="C11" s="17">
        <f>14900172.28*22.49/100</f>
        <v>3351048.7457719995</v>
      </c>
      <c r="D11" s="17">
        <f>99371411.75*22.49/100</f>
        <v>22348630.502574995</v>
      </c>
      <c r="E11" s="296">
        <f>242606051.05*22.49/100</f>
        <v>54562100.881145</v>
      </c>
      <c r="F11" s="18">
        <f t="shared" ref="F11:F25" si="2">SUM(B11:E11)</f>
        <v>541994554.68874288</v>
      </c>
      <c r="G11" s="423">
        <v>149401</v>
      </c>
      <c r="H11" s="412" t="s">
        <v>68</v>
      </c>
      <c r="I11" s="17">
        <f t="shared" ref="I11:I22" si="3">+F11/G11</f>
        <v>3627.7839819595779</v>
      </c>
    </row>
    <row r="12" spans="1:13" s="24" customFormat="1">
      <c r="A12" s="254" t="s">
        <v>353</v>
      </c>
      <c r="B12" s="17">
        <f>2053058134.99*4.13/100</f>
        <v>84791300.975086987</v>
      </c>
      <c r="C12" s="17">
        <f>14900172.28*4.13/100</f>
        <v>615377.11516399996</v>
      </c>
      <c r="D12" s="17">
        <f>99371411.75*4.13/100</f>
        <v>4104039.3052749997</v>
      </c>
      <c r="E12" s="296">
        <f>242606051.05*4.13/100</f>
        <v>10019629.908365</v>
      </c>
      <c r="F12" s="18">
        <f t="shared" si="2"/>
        <v>99530347.303890973</v>
      </c>
      <c r="G12" s="423">
        <v>2210</v>
      </c>
      <c r="H12" s="412" t="s">
        <v>68</v>
      </c>
      <c r="I12" s="17">
        <f t="shared" si="3"/>
        <v>45036.356246104515</v>
      </c>
    </row>
    <row r="13" spans="1:13">
      <c r="A13" s="321" t="s">
        <v>354</v>
      </c>
      <c r="B13" s="17">
        <f>2053058134.99*0.6/100</f>
        <v>12318348.809939999</v>
      </c>
      <c r="C13" s="17">
        <f>14900172.28*0.6/100</f>
        <v>89401.033679999993</v>
      </c>
      <c r="D13" s="17">
        <f>99371411.75*0.6/100</f>
        <v>596228.47049999994</v>
      </c>
      <c r="E13" s="296">
        <f>242606051.05*0.6/100</f>
        <v>1455636.3063000001</v>
      </c>
      <c r="F13" s="287">
        <f t="shared" ref="F13:F18" si="4">SUM(B13:E13)</f>
        <v>14459614.620419998</v>
      </c>
      <c r="G13" s="436">
        <v>3604</v>
      </c>
      <c r="H13" s="425" t="s">
        <v>68</v>
      </c>
      <c r="I13" s="68">
        <f>SUM(F13/G13)</f>
        <v>4012.1017259766918</v>
      </c>
      <c r="M13" s="24"/>
    </row>
    <row r="14" spans="1:13">
      <c r="A14" s="323" t="s">
        <v>355</v>
      </c>
      <c r="B14" s="17">
        <f>2053058134.99*0.13/100</f>
        <v>2668975.5754869999</v>
      </c>
      <c r="C14" s="17">
        <f>14900172.28*0.13/100</f>
        <v>19370.223964000001</v>
      </c>
      <c r="D14" s="17">
        <f>99371411.75*0.13/100</f>
        <v>129182.835275</v>
      </c>
      <c r="E14" s="296">
        <f>242606051.05*0.13/100</f>
        <v>315387.86636500002</v>
      </c>
      <c r="F14" s="18">
        <f t="shared" si="4"/>
        <v>3132916.5010910002</v>
      </c>
      <c r="G14" s="143">
        <v>59</v>
      </c>
      <c r="H14" s="426" t="s">
        <v>68</v>
      </c>
      <c r="I14" s="20">
        <f>SUM(F14/G14)</f>
        <v>53100.27967950848</v>
      </c>
      <c r="M14" s="24"/>
    </row>
    <row r="15" spans="1:13" s="132" customFormat="1">
      <c r="A15" s="539" t="s">
        <v>384</v>
      </c>
      <c r="B15" s="63"/>
      <c r="C15" s="63"/>
      <c r="D15" s="63"/>
      <c r="E15" s="63"/>
      <c r="F15" s="19">
        <f t="shared" si="4"/>
        <v>0</v>
      </c>
      <c r="G15" s="144"/>
      <c r="H15" s="503"/>
      <c r="I15" s="63"/>
      <c r="J15" s="55"/>
      <c r="K15" s="55"/>
      <c r="L15" s="55"/>
      <c r="M15" s="55"/>
    </row>
    <row r="16" spans="1:13" s="132" customFormat="1">
      <c r="A16" s="321" t="s">
        <v>356</v>
      </c>
      <c r="B16" s="17">
        <f>2053058134.99*0.57/100</f>
        <v>11702431.369442999</v>
      </c>
      <c r="C16" s="17">
        <f>14900172.28*0.57/100</f>
        <v>84930.981995999988</v>
      </c>
      <c r="D16" s="17">
        <f>99371411.75*0.57/100</f>
        <v>566417.04697499995</v>
      </c>
      <c r="E16" s="296">
        <f>242606051.05*0.57/100</f>
        <v>1382854.4909849998</v>
      </c>
      <c r="F16" s="287">
        <f t="shared" si="4"/>
        <v>13736633.889399</v>
      </c>
      <c r="G16" s="436">
        <v>9592</v>
      </c>
      <c r="H16" s="425" t="s">
        <v>68</v>
      </c>
      <c r="I16" s="68">
        <f t="shared" ref="I16:I17" si="5">SUM(F16/G16)</f>
        <v>1432.092774124166</v>
      </c>
      <c r="J16" s="55"/>
      <c r="K16" s="55"/>
      <c r="L16" s="55"/>
      <c r="M16" s="55"/>
    </row>
    <row r="17" spans="1:13" s="132" customFormat="1">
      <c r="A17" s="323" t="s">
        <v>357</v>
      </c>
      <c r="B17" s="17">
        <f>2053058134.99*0.18/100</f>
        <v>3695504.642982</v>
      </c>
      <c r="C17" s="17">
        <f>14900172.28*0.18/100</f>
        <v>26820.310103999996</v>
      </c>
      <c r="D17" s="17">
        <f>99371411.75*0.18/100</f>
        <v>178868.54114999998</v>
      </c>
      <c r="E17" s="296">
        <f>242606051.05*0.18/100</f>
        <v>436690.89189000003</v>
      </c>
      <c r="F17" s="18">
        <f t="shared" si="4"/>
        <v>4337884.3861259995</v>
      </c>
      <c r="G17" s="143">
        <v>87</v>
      </c>
      <c r="H17" s="426" t="s">
        <v>282</v>
      </c>
      <c r="I17" s="20">
        <f t="shared" si="5"/>
        <v>49860.740070413791</v>
      </c>
      <c r="J17" s="55"/>
      <c r="K17" s="55"/>
      <c r="L17" s="55"/>
      <c r="M17" s="55"/>
    </row>
    <row r="18" spans="1:13" s="132" customFormat="1">
      <c r="A18" s="539" t="s">
        <v>385</v>
      </c>
      <c r="B18" s="63"/>
      <c r="C18" s="63"/>
      <c r="D18" s="63"/>
      <c r="E18" s="63"/>
      <c r="F18" s="19">
        <f t="shared" si="4"/>
        <v>0</v>
      </c>
      <c r="G18" s="144"/>
      <c r="H18" s="503"/>
      <c r="I18" s="63"/>
      <c r="J18" s="55"/>
      <c r="K18" s="55"/>
      <c r="L18" s="55"/>
      <c r="M18" s="55"/>
    </row>
    <row r="19" spans="1:13" s="132" customFormat="1">
      <c r="A19" s="254" t="s">
        <v>358</v>
      </c>
      <c r="B19" s="17">
        <f>2053058134.99*3.42/100</f>
        <v>70214588.216657996</v>
      </c>
      <c r="C19" s="17">
        <f>14900172.28*3.42/100</f>
        <v>509585.89197599998</v>
      </c>
      <c r="D19" s="17">
        <f>99371411.75*3.42/100</f>
        <v>3398502.2818499999</v>
      </c>
      <c r="E19" s="296">
        <f>242606051.05*3.42/100</f>
        <v>8297126.9459100012</v>
      </c>
      <c r="F19" s="18">
        <f t="shared" ref="F19" si="6">SUM(B19:E19)</f>
        <v>82419803.336393997</v>
      </c>
      <c r="G19" s="423">
        <v>260</v>
      </c>
      <c r="H19" s="412" t="s">
        <v>282</v>
      </c>
      <c r="I19" s="17">
        <f t="shared" ref="I19" si="7">+F19/G19</f>
        <v>316999.24360151537</v>
      </c>
      <c r="J19" s="55"/>
      <c r="K19" s="55"/>
      <c r="L19" s="55"/>
      <c r="M19" s="55"/>
    </row>
    <row r="20" spans="1:13" s="132" customFormat="1">
      <c r="A20" s="321" t="s">
        <v>359</v>
      </c>
      <c r="B20" s="17">
        <f>2053058134.99*6.8/100</f>
        <v>139607953.17931998</v>
      </c>
      <c r="C20" s="17">
        <f>14900172.28*6.8/100</f>
        <v>1013211.7150399999</v>
      </c>
      <c r="D20" s="17">
        <f>99371411.75*6.8/100</f>
        <v>6757255.9989999998</v>
      </c>
      <c r="E20" s="296">
        <f>242606051.05*6.8/100</f>
        <v>16497211.4714</v>
      </c>
      <c r="F20" s="287">
        <f t="shared" si="2"/>
        <v>163875632.36475998</v>
      </c>
      <c r="G20" s="436">
        <v>10324</v>
      </c>
      <c r="H20" s="412" t="s">
        <v>68</v>
      </c>
      <c r="I20" s="17">
        <f t="shared" si="3"/>
        <v>15873.269310805887</v>
      </c>
      <c r="J20" s="55"/>
      <c r="K20" s="55"/>
      <c r="L20" s="55"/>
      <c r="M20" s="55"/>
    </row>
    <row r="21" spans="1:13" s="132" customFormat="1">
      <c r="A21" s="323" t="s">
        <v>360</v>
      </c>
      <c r="B21" s="17">
        <f>2053058134.99*3.88/100</f>
        <v>79658655.637612</v>
      </c>
      <c r="C21" s="17">
        <f>14900172.28*3.88/100</f>
        <v>578126.68446399993</v>
      </c>
      <c r="D21" s="17">
        <f>99371411.75*3.88/100</f>
        <v>3855610.7758999998</v>
      </c>
      <c r="E21" s="296">
        <f>242606051.05*3.88/100</f>
        <v>9413114.7807400003</v>
      </c>
      <c r="F21" s="287">
        <f t="shared" si="2"/>
        <v>93505507.878715992</v>
      </c>
      <c r="G21" s="436">
        <v>2273</v>
      </c>
      <c r="H21" s="412" t="s">
        <v>68</v>
      </c>
      <c r="I21" s="17">
        <f t="shared" si="3"/>
        <v>41137.486968198849</v>
      </c>
      <c r="J21" s="55"/>
      <c r="K21" s="55"/>
      <c r="L21" s="55"/>
      <c r="M21" s="55"/>
    </row>
    <row r="22" spans="1:13" s="132" customFormat="1">
      <c r="A22" s="321" t="s">
        <v>361</v>
      </c>
      <c r="B22" s="17">
        <f>2053058134.99*7.99/100</f>
        <v>164039344.98570099</v>
      </c>
      <c r="C22" s="17">
        <f>14900172.28*7.99/100</f>
        <v>1190523.765172</v>
      </c>
      <c r="D22" s="17">
        <f>99371411.75*7.99/100</f>
        <v>7939775.7988250004</v>
      </c>
      <c r="E22" s="296">
        <f>242606051.05*7.99/100</f>
        <v>19384223.478895001</v>
      </c>
      <c r="F22" s="287">
        <f t="shared" si="2"/>
        <v>192553868.028593</v>
      </c>
      <c r="G22" s="436">
        <v>44001</v>
      </c>
      <c r="H22" s="412" t="s">
        <v>68</v>
      </c>
      <c r="I22" s="17">
        <f t="shared" si="3"/>
        <v>4376.1248159949319</v>
      </c>
      <c r="J22" s="55"/>
      <c r="K22" s="55"/>
      <c r="L22" s="55"/>
      <c r="M22" s="55"/>
    </row>
    <row r="23" spans="1:13" s="132" customFormat="1">
      <c r="A23" s="410" t="s">
        <v>362</v>
      </c>
      <c r="B23" s="17">
        <f>2053058134.99*6.05/100</f>
        <v>124210017.16689499</v>
      </c>
      <c r="C23" s="17">
        <f>14900172.28*6.05/100</f>
        <v>901460.42293999996</v>
      </c>
      <c r="D23" s="17">
        <f>99371411.75*6.05/100</f>
        <v>6011970.4108750001</v>
      </c>
      <c r="E23" s="296">
        <f>242606051.05*6.05/100</f>
        <v>14677666.088524999</v>
      </c>
      <c r="F23" s="287">
        <f t="shared" si="2"/>
        <v>145801114.08923498</v>
      </c>
      <c r="G23" s="436">
        <v>28</v>
      </c>
      <c r="H23" s="412" t="s">
        <v>108</v>
      </c>
      <c r="I23" s="411">
        <f>SUM(F23/G23)</f>
        <v>5207182.6460441062</v>
      </c>
      <c r="J23" s="55"/>
      <c r="K23" s="55"/>
      <c r="L23" s="55"/>
      <c r="M23" s="55"/>
    </row>
    <row r="24" spans="1:13" s="132" customFormat="1">
      <c r="A24" s="540" t="s">
        <v>363</v>
      </c>
      <c r="B24" s="17">
        <f>2053058134.99*3/100</f>
        <v>61591744.049699999</v>
      </c>
      <c r="C24" s="17">
        <f>14900172.28*3/100</f>
        <v>447005.16839999997</v>
      </c>
      <c r="D24" s="17">
        <f>99371411.75*3/100</f>
        <v>2981142.3525</v>
      </c>
      <c r="E24" s="296">
        <f>242606051.05*3/100</f>
        <v>7278181.5315000005</v>
      </c>
      <c r="F24" s="287">
        <f t="shared" si="2"/>
        <v>72298073.1021</v>
      </c>
      <c r="G24" s="436">
        <v>111</v>
      </c>
      <c r="H24" s="412" t="s">
        <v>72</v>
      </c>
      <c r="I24" s="411">
        <f>SUM(F24/G24)</f>
        <v>651333.99191081082</v>
      </c>
      <c r="J24" s="55"/>
      <c r="K24" s="55"/>
      <c r="L24" s="55"/>
      <c r="M24" s="55"/>
    </row>
    <row r="25" spans="1:13" s="132" customFormat="1">
      <c r="A25" s="311" t="s">
        <v>364</v>
      </c>
      <c r="B25" s="17">
        <f>2053058134.99*37.68/100</f>
        <v>773592305.26423204</v>
      </c>
      <c r="C25" s="17">
        <f>14900172.28*37.68/100</f>
        <v>5614384.915103999</v>
      </c>
      <c r="D25" s="17">
        <f>99371411.75*37.68/100</f>
        <v>37443147.947399996</v>
      </c>
      <c r="E25" s="296">
        <f>242606051.05*37.68/100</f>
        <v>91413960.035640016</v>
      </c>
      <c r="F25" s="18">
        <f t="shared" si="2"/>
        <v>908063798.16237605</v>
      </c>
      <c r="G25" s="143">
        <v>4456177</v>
      </c>
      <c r="H25" s="413" t="s">
        <v>68</v>
      </c>
      <c r="I25" s="313">
        <f>SUM(F25/G25)</f>
        <v>203.77642049729533</v>
      </c>
      <c r="J25" s="55"/>
      <c r="K25" s="55"/>
      <c r="L25" s="55"/>
      <c r="M25" s="55"/>
    </row>
    <row r="26" spans="1:13" s="132" customFormat="1">
      <c r="A26" s="414" t="s">
        <v>264</v>
      </c>
      <c r="B26" s="20"/>
      <c r="C26" s="20"/>
      <c r="D26" s="20"/>
      <c r="E26" s="434"/>
      <c r="F26" s="187"/>
      <c r="G26" s="144"/>
      <c r="H26" s="315"/>
      <c r="I26" s="187"/>
      <c r="J26" s="55"/>
      <c r="K26" s="55"/>
      <c r="L26" s="55"/>
      <c r="M26" s="55"/>
    </row>
    <row r="27" spans="1:13" s="132" customFormat="1">
      <c r="A27" s="410" t="s">
        <v>365</v>
      </c>
      <c r="B27" s="17">
        <f>2053058134.99*2.32/100</f>
        <v>47630948.731767997</v>
      </c>
      <c r="C27" s="17">
        <f>14900172.28*2.32/100</f>
        <v>345683.996896</v>
      </c>
      <c r="D27" s="17">
        <f>99371411.75*2.32/100</f>
        <v>2305416.7525999998</v>
      </c>
      <c r="E27" s="296">
        <f>242606051.05*2.32/100</f>
        <v>5628460.3843599996</v>
      </c>
      <c r="F27" s="287">
        <f>SUM(B27:E27)</f>
        <v>55910509.865623996</v>
      </c>
      <c r="G27" s="436">
        <v>15885</v>
      </c>
      <c r="H27" s="412" t="s">
        <v>68</v>
      </c>
      <c r="I27" s="411">
        <f>SUM(F27/G27)</f>
        <v>3519.7047444522505</v>
      </c>
      <c r="J27" s="55"/>
      <c r="K27" s="55"/>
      <c r="L27" s="55"/>
      <c r="M27" s="55"/>
    </row>
    <row r="28" spans="1:13" s="132" customFormat="1">
      <c r="A28" s="321" t="s">
        <v>366</v>
      </c>
      <c r="B28" s="68">
        <f>2053058134.99*0.66/100</f>
        <v>13550183.690934001</v>
      </c>
      <c r="C28" s="68">
        <f>14900172.28*0.66/100</f>
        <v>98341.137048000004</v>
      </c>
      <c r="D28" s="68">
        <f>99371411.75*0.66/100</f>
        <v>655851.31755000004</v>
      </c>
      <c r="E28" s="502">
        <f>242606051.05*0.66/100</f>
        <v>1601199.9369300001</v>
      </c>
      <c r="F28" s="287">
        <f t="shared" ref="F28" si="8">SUM(B28:E28)</f>
        <v>15905576.082462002</v>
      </c>
      <c r="G28" s="436">
        <v>79</v>
      </c>
      <c r="H28" s="425" t="s">
        <v>282</v>
      </c>
      <c r="I28" s="68">
        <f t="shared" ref="I28" si="9">SUM(F28/G28)</f>
        <v>201336.40610711396</v>
      </c>
      <c r="J28" s="55"/>
      <c r="K28" s="55"/>
      <c r="L28" s="55"/>
      <c r="M28" s="55"/>
    </row>
    <row r="29" spans="1:13" s="24" customFormat="1" ht="24.75" thickBot="1">
      <c r="A29" s="299" t="s">
        <v>50</v>
      </c>
      <c r="B29" s="300">
        <f>+B11+B12+B20+B21+B28+B22+B23+B24+B25+B27+B9+B13+B14+B16+B17+B19</f>
        <v>2053058134.9899998</v>
      </c>
      <c r="C29" s="300">
        <f t="shared" ref="C29:F29" si="10">+C11+C12+C20+C21+C28+C22+C23+C24+C25+C27+C9+C13+C14+C16+C17+C19</f>
        <v>14900172.279999999</v>
      </c>
      <c r="D29" s="300">
        <f t="shared" si="10"/>
        <v>99371411.75</v>
      </c>
      <c r="E29" s="300">
        <f t="shared" si="10"/>
        <v>242606051.05000001</v>
      </c>
      <c r="F29" s="300">
        <f t="shared" si="10"/>
        <v>2409935770.0699997</v>
      </c>
      <c r="G29" s="435">
        <f>+G11+G12+G20+G21+G22+G25+G27+G9+G13+G14+G16</f>
        <v>4694115</v>
      </c>
      <c r="H29" s="301"/>
      <c r="I29" s="300">
        <f>+F29/G29</f>
        <v>513.39512774399429</v>
      </c>
    </row>
    <row r="30" spans="1:13" ht="24.75" thickTop="1"/>
  </sheetData>
  <mergeCells count="3">
    <mergeCell ref="A1:I1"/>
    <mergeCell ref="A2:I2"/>
    <mergeCell ref="A3:I3"/>
  </mergeCells>
  <pageMargins left="0" right="0" top="0.55118110236220474" bottom="0.39370078740157483" header="0.51181102362204722" footer="0.31496062992125984"/>
  <pageSetup paperSize="9" scale="74" orientation="landscape" r:id="rId1"/>
  <headerFooter alignWithMargins="0"/>
  <colBreaks count="1" manualBreakCount="1">
    <brk id="9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 enableFormatConditionsCalculation="0">
    <tabColor rgb="FFFFFF00"/>
  </sheetPr>
  <dimension ref="A1:I15"/>
  <sheetViews>
    <sheetView workbookViewId="0">
      <selection activeCell="A14" sqref="A14"/>
    </sheetView>
  </sheetViews>
  <sheetFormatPr defaultRowHeight="24"/>
  <cols>
    <col min="1" max="1" width="70" style="4" customWidth="1"/>
    <col min="2" max="2" width="19.42578125" style="4" bestFit="1" customWidth="1"/>
    <col min="3" max="3" width="19.140625" style="4" bestFit="1" customWidth="1"/>
    <col min="4" max="4" width="16.5703125" style="4" bestFit="1" customWidth="1"/>
    <col min="5" max="5" width="19.28515625" style="4" customWidth="1"/>
    <col min="6" max="6" width="19.140625" style="4" bestFit="1" customWidth="1"/>
    <col min="7" max="7" width="12.140625" style="83" customWidth="1"/>
    <col min="8" max="8" width="9.85546875" style="4" bestFit="1" customWidth="1"/>
    <col min="9" max="9" width="15" style="4" bestFit="1" customWidth="1"/>
    <col min="10" max="10" width="9.85546875" style="4" bestFit="1" customWidth="1"/>
    <col min="11" max="16384" width="9.140625" style="4"/>
  </cols>
  <sheetData>
    <row r="1" spans="1:9" s="257" customFormat="1" ht="27.75">
      <c r="A1" s="594" t="s">
        <v>177</v>
      </c>
      <c r="B1" s="594"/>
      <c r="C1" s="594"/>
      <c r="D1" s="594"/>
      <c r="E1" s="594"/>
      <c r="F1" s="594"/>
      <c r="G1" s="594"/>
      <c r="H1" s="594"/>
      <c r="I1" s="594"/>
    </row>
    <row r="2" spans="1:9" s="257" customFormat="1" ht="27.75">
      <c r="A2" s="594" t="s">
        <v>253</v>
      </c>
      <c r="B2" s="594"/>
      <c r="C2" s="594"/>
      <c r="D2" s="594"/>
      <c r="E2" s="594"/>
      <c r="F2" s="594"/>
      <c r="G2" s="594"/>
      <c r="H2" s="594"/>
      <c r="I2" s="594"/>
    </row>
    <row r="3" spans="1:9" s="257" customFormat="1" ht="27.75">
      <c r="A3" s="594" t="s">
        <v>277</v>
      </c>
      <c r="B3" s="594"/>
      <c r="C3" s="594"/>
      <c r="D3" s="594"/>
      <c r="E3" s="594"/>
      <c r="F3" s="594"/>
      <c r="G3" s="594"/>
      <c r="H3" s="594"/>
      <c r="I3" s="594"/>
    </row>
    <row r="4" spans="1:9" s="257" customFormat="1" ht="27.75">
      <c r="A4" s="258" t="s">
        <v>221</v>
      </c>
      <c r="C4" s="29"/>
      <c r="G4" s="259"/>
    </row>
    <row r="5" spans="1:9" s="9" customFormat="1">
      <c r="A5" s="74"/>
      <c r="G5" s="73"/>
      <c r="I5" s="75" t="s">
        <v>59</v>
      </c>
    </row>
    <row r="6" spans="1:9" s="79" customFormat="1">
      <c r="A6" s="76" t="s">
        <v>229</v>
      </c>
      <c r="B6" s="77" t="s">
        <v>44</v>
      </c>
      <c r="C6" s="77" t="s">
        <v>45</v>
      </c>
      <c r="D6" s="77" t="s">
        <v>46</v>
      </c>
      <c r="E6" s="77" t="s">
        <v>61</v>
      </c>
      <c r="F6" s="77" t="s">
        <v>62</v>
      </c>
      <c r="G6" s="78" t="s">
        <v>63</v>
      </c>
      <c r="H6" s="77" t="s">
        <v>64</v>
      </c>
      <c r="I6" s="77" t="s">
        <v>65</v>
      </c>
    </row>
    <row r="7" spans="1:9" s="9" customFormat="1">
      <c r="A7" s="80"/>
      <c r="B7" s="80"/>
      <c r="C7" s="80"/>
      <c r="D7" s="80"/>
      <c r="E7" s="80"/>
      <c r="F7" s="80"/>
      <c r="G7" s="81"/>
      <c r="H7" s="80"/>
      <c r="I7" s="80"/>
    </row>
    <row r="8" spans="1:9">
      <c r="A8" s="437" t="s">
        <v>328</v>
      </c>
      <c r="B8" s="71">
        <f>+'[1]ตารางที่ 5 ส่ง'!B27</f>
        <v>2053058.1349900002</v>
      </c>
      <c r="C8" s="71">
        <f>+'[1]ตารางที่ 5 ส่ง'!C27</f>
        <v>14900.172280000001</v>
      </c>
      <c r="D8" s="71">
        <f>+'[1]ตารางที่ 5 ส่ง'!D27</f>
        <v>99371.411750000014</v>
      </c>
      <c r="E8" s="71">
        <f>+'[1]ตารางที่ 5 ส่ง'!E27</f>
        <v>242606.05105000004</v>
      </c>
      <c r="F8" s="71">
        <f>SUM(B8:E8)</f>
        <v>2409935.7700700001</v>
      </c>
      <c r="G8" s="302">
        <v>589</v>
      </c>
      <c r="H8" s="65" t="s">
        <v>68</v>
      </c>
      <c r="I8" s="298">
        <f>SUM(F8/G8)</f>
        <v>4091.5717658234298</v>
      </c>
    </row>
    <row r="9" spans="1:9">
      <c r="A9" s="437" t="s">
        <v>382</v>
      </c>
      <c r="B9" s="71"/>
      <c r="C9" s="71"/>
      <c r="D9" s="71"/>
      <c r="E9" s="71"/>
      <c r="F9" s="71"/>
      <c r="G9" s="302"/>
      <c r="H9" s="65"/>
      <c r="I9" s="71"/>
    </row>
    <row r="10" spans="1:9">
      <c r="A10" s="68" t="s">
        <v>329</v>
      </c>
      <c r="B10" s="297">
        <v>546524075.52999997</v>
      </c>
      <c r="C10" s="297">
        <v>3966425.86</v>
      </c>
      <c r="D10" s="297">
        <v>26452669.809999999</v>
      </c>
      <c r="E10" s="297">
        <v>64581730.789999999</v>
      </c>
      <c r="F10" s="297">
        <f>SUM(B10:E10)</f>
        <v>641524901.98999989</v>
      </c>
      <c r="G10" s="436">
        <v>151611</v>
      </c>
      <c r="H10" s="329" t="s">
        <v>68</v>
      </c>
      <c r="I10" s="297">
        <f>SUM(F10/G10)</f>
        <v>4231.387577352566</v>
      </c>
    </row>
    <row r="11" spans="1:9">
      <c r="A11" s="505" t="s">
        <v>295</v>
      </c>
      <c r="B11" s="297">
        <v>30385260.399999999</v>
      </c>
      <c r="C11" s="297">
        <v>220522.55</v>
      </c>
      <c r="D11" s="297">
        <v>1470696.89</v>
      </c>
      <c r="E11" s="297">
        <v>3590569.56</v>
      </c>
      <c r="F11" s="297">
        <f>SUM(B11:E11)</f>
        <v>35667049.399999999</v>
      </c>
      <c r="G11" s="506">
        <v>13255</v>
      </c>
      <c r="H11" s="69" t="s">
        <v>68</v>
      </c>
      <c r="I11" s="297">
        <f>SUM(F11/G11)</f>
        <v>2690.8373745756317</v>
      </c>
    </row>
    <row r="12" spans="1:9">
      <c r="A12" s="17" t="s">
        <v>330</v>
      </c>
      <c r="B12" s="298">
        <v>1474095740.9200001</v>
      </c>
      <c r="C12" s="298">
        <v>10698323.699999999</v>
      </c>
      <c r="D12" s="298">
        <v>71348673.640000001</v>
      </c>
      <c r="E12" s="298">
        <v>174191144.65000001</v>
      </c>
      <c r="F12" s="298">
        <f>SUM(B12:E12)</f>
        <v>1730333882.9100003</v>
      </c>
      <c r="G12" s="139">
        <v>4528660</v>
      </c>
      <c r="H12" s="62" t="s">
        <v>68</v>
      </c>
      <c r="I12" s="298">
        <f>SUM(F12/G12)</f>
        <v>382.08518257276995</v>
      </c>
    </row>
    <row r="13" spans="1:9">
      <c r="A13" s="63" t="s">
        <v>258</v>
      </c>
      <c r="B13" s="64"/>
      <c r="C13" s="64"/>
      <c r="D13" s="64"/>
      <c r="E13" s="64"/>
      <c r="F13" s="64"/>
      <c r="G13" s="429"/>
      <c r="H13" s="64"/>
      <c r="I13" s="64"/>
    </row>
    <row r="14" spans="1:9" s="9" customFormat="1" ht="24.75" thickBot="1">
      <c r="A14" s="304" t="s">
        <v>50</v>
      </c>
      <c r="B14" s="305">
        <f>++B10+B11+B12++B8</f>
        <v>2053058134.9849899</v>
      </c>
      <c r="C14" s="305">
        <f t="shared" ref="C14:F14" si="0">++C10+C11+C12++C8</f>
        <v>14900172.28228</v>
      </c>
      <c r="D14" s="305">
        <f t="shared" si="0"/>
        <v>99371411.751750007</v>
      </c>
      <c r="E14" s="305">
        <f t="shared" si="0"/>
        <v>242606051.05105001</v>
      </c>
      <c r="F14" s="305">
        <f t="shared" si="0"/>
        <v>2409935770.0700703</v>
      </c>
      <c r="G14" s="306">
        <f>++G10+G11+G12++G8</f>
        <v>4694115</v>
      </c>
      <c r="H14" s="304" t="s">
        <v>68</v>
      </c>
      <c r="I14" s="305">
        <f>SUM(F14/G14)</f>
        <v>513.3951277440093</v>
      </c>
    </row>
    <row r="15" spans="1:9" ht="24.75" thickTop="1"/>
  </sheetData>
  <mergeCells count="3">
    <mergeCell ref="A1:I1"/>
    <mergeCell ref="A2:I2"/>
    <mergeCell ref="A3:I3"/>
  </mergeCells>
  <phoneticPr fontId="2" type="noConversion"/>
  <pageMargins left="0.23622047244094491" right="0.15748031496062992" top="0.55118110236220474" bottom="0.98425196850393704" header="0.78740157480314965" footer="0.51181102362204722"/>
  <pageSetup paperSize="9" scale="73" orientation="landscape" r:id="rId1"/>
  <headerFooter alignWithMargins="0"/>
  <colBreaks count="1" manualBreakCount="1">
    <brk id="9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>
  <sheetPr>
    <tabColor rgb="FFFFFF00"/>
  </sheetPr>
  <dimension ref="A1:V78"/>
  <sheetViews>
    <sheetView workbookViewId="0">
      <selection activeCell="A73" sqref="A73"/>
    </sheetView>
  </sheetViews>
  <sheetFormatPr defaultRowHeight="24"/>
  <cols>
    <col min="1" max="1" width="82.5703125" style="132" customWidth="1"/>
    <col min="2" max="2" width="23" style="132" customWidth="1"/>
    <col min="3" max="3" width="18.42578125" style="132" customWidth="1"/>
    <col min="4" max="4" width="19.85546875" style="132" customWidth="1"/>
    <col min="5" max="5" width="20.85546875" style="132" customWidth="1"/>
    <col min="6" max="6" width="18.28515625" style="132" customWidth="1"/>
    <col min="7" max="7" width="18.85546875" style="147" customWidth="1"/>
    <col min="8" max="8" width="23.5703125" style="132" customWidth="1"/>
    <col min="9" max="9" width="15.28515625" style="132" customWidth="1"/>
    <col min="10" max="10" width="25.42578125" style="132" customWidth="1"/>
    <col min="11" max="12" width="20.42578125" style="132" customWidth="1"/>
    <col min="13" max="13" width="21.42578125" style="132" customWidth="1"/>
    <col min="14" max="14" width="23.85546875" style="132" customWidth="1"/>
    <col min="15" max="15" width="24.5703125" style="132" customWidth="1"/>
    <col min="16" max="16" width="25" style="132" customWidth="1"/>
    <col min="17" max="17" width="15.42578125" style="132" customWidth="1"/>
    <col min="18" max="18" width="19.28515625" style="133" customWidth="1"/>
    <col min="19" max="19" width="18.28515625" style="132" customWidth="1"/>
    <col min="20" max="20" width="22.42578125" style="132" customWidth="1"/>
    <col min="21" max="21" width="14.85546875" style="147" bestFit="1" customWidth="1"/>
    <col min="22" max="22" width="11.28515625" style="55" bestFit="1" customWidth="1"/>
    <col min="23" max="16384" width="9.140625" style="132"/>
  </cols>
  <sheetData>
    <row r="1" spans="1:22" s="219" customFormat="1" ht="27.75">
      <c r="A1" s="592" t="s">
        <v>177</v>
      </c>
      <c r="B1" s="592"/>
      <c r="C1" s="592"/>
      <c r="D1" s="592"/>
      <c r="E1" s="592"/>
      <c r="F1" s="592"/>
      <c r="G1" s="592"/>
      <c r="H1" s="592"/>
      <c r="I1" s="592"/>
      <c r="J1" s="592"/>
      <c r="K1" s="592"/>
      <c r="L1" s="592"/>
      <c r="M1" s="592"/>
      <c r="N1" s="592"/>
      <c r="O1" s="592"/>
      <c r="P1" s="592"/>
      <c r="Q1" s="592"/>
      <c r="R1" s="592"/>
      <c r="S1" s="592"/>
      <c r="T1" s="592"/>
      <c r="U1" s="261"/>
      <c r="V1" s="260"/>
    </row>
    <row r="2" spans="1:22" s="219" customFormat="1" ht="27.75">
      <c r="A2" s="592" t="s">
        <v>253</v>
      </c>
      <c r="B2" s="592"/>
      <c r="C2" s="592"/>
      <c r="D2" s="592"/>
      <c r="E2" s="592"/>
      <c r="F2" s="592"/>
      <c r="G2" s="592"/>
      <c r="H2" s="592"/>
      <c r="I2" s="592"/>
      <c r="J2" s="592"/>
      <c r="K2" s="592"/>
      <c r="L2" s="592"/>
      <c r="M2" s="592"/>
      <c r="N2" s="592"/>
      <c r="O2" s="592"/>
      <c r="P2" s="592"/>
      <c r="Q2" s="592"/>
      <c r="R2" s="592"/>
      <c r="S2" s="592"/>
      <c r="T2" s="592"/>
      <c r="U2" s="261"/>
      <c r="V2" s="260"/>
    </row>
    <row r="3" spans="1:22" s="219" customFormat="1" ht="27.75">
      <c r="A3" s="592" t="s">
        <v>277</v>
      </c>
      <c r="B3" s="592"/>
      <c r="C3" s="592"/>
      <c r="D3" s="592"/>
      <c r="E3" s="592"/>
      <c r="F3" s="592"/>
      <c r="G3" s="592"/>
      <c r="H3" s="592"/>
      <c r="I3" s="592"/>
      <c r="J3" s="592"/>
      <c r="K3" s="592"/>
      <c r="L3" s="592"/>
      <c r="M3" s="592"/>
      <c r="N3" s="592"/>
      <c r="O3" s="592"/>
      <c r="P3" s="592"/>
      <c r="Q3" s="592"/>
      <c r="R3" s="592"/>
      <c r="S3" s="592"/>
      <c r="T3" s="592"/>
      <c r="U3" s="261"/>
      <c r="V3" s="260"/>
    </row>
    <row r="4" spans="1:22" s="113" customFormat="1" ht="27.75">
      <c r="A4" s="592" t="s">
        <v>280</v>
      </c>
      <c r="B4" s="592"/>
      <c r="C4" s="592"/>
      <c r="D4" s="592"/>
      <c r="E4" s="592"/>
      <c r="F4" s="592"/>
      <c r="G4" s="592"/>
      <c r="H4" s="592"/>
      <c r="I4" s="592"/>
      <c r="J4" s="592"/>
      <c r="K4" s="592"/>
      <c r="L4" s="592"/>
      <c r="M4" s="592"/>
      <c r="N4" s="592"/>
      <c r="O4" s="592"/>
      <c r="P4" s="592"/>
      <c r="Q4" s="592"/>
      <c r="R4" s="592"/>
      <c r="S4" s="592"/>
      <c r="T4" s="592"/>
      <c r="U4" s="246"/>
      <c r="V4" s="114"/>
    </row>
    <row r="5" spans="1:22" s="219" customFormat="1" ht="27.75">
      <c r="G5" s="261"/>
      <c r="R5" s="440"/>
      <c r="U5" s="261"/>
      <c r="V5" s="260"/>
    </row>
    <row r="6" spans="1:22" s="113" customFormat="1" ht="27.75">
      <c r="A6" s="212" t="s">
        <v>1</v>
      </c>
      <c r="G6" s="246"/>
      <c r="R6" s="131"/>
      <c r="U6" s="246"/>
      <c r="V6" s="114"/>
    </row>
    <row r="7" spans="1:22" s="100" customFormat="1">
      <c r="A7" s="148"/>
      <c r="G7" s="140"/>
      <c r="R7" s="137"/>
      <c r="U7" s="140"/>
      <c r="V7" s="101"/>
    </row>
    <row r="8" spans="1:22" s="150" customFormat="1" ht="39.75">
      <c r="A8" s="595" t="s">
        <v>259</v>
      </c>
      <c r="B8" s="596"/>
      <c r="C8" s="596"/>
      <c r="D8" s="596"/>
      <c r="E8" s="596"/>
      <c r="F8" s="596"/>
      <c r="G8" s="596"/>
      <c r="H8" s="596"/>
      <c r="I8" s="597"/>
      <c r="J8" s="596" t="s">
        <v>281</v>
      </c>
      <c r="K8" s="596"/>
      <c r="L8" s="596"/>
      <c r="M8" s="596"/>
      <c r="N8" s="596"/>
      <c r="O8" s="596"/>
      <c r="P8" s="596"/>
      <c r="Q8" s="597"/>
      <c r="R8" s="595" t="s">
        <v>86</v>
      </c>
      <c r="S8" s="596"/>
      <c r="T8" s="597"/>
      <c r="U8" s="466"/>
      <c r="V8" s="149"/>
    </row>
    <row r="9" spans="1:22" s="510" customFormat="1" ht="27.75">
      <c r="A9" s="116" t="s">
        <v>60</v>
      </c>
      <c r="B9" s="116" t="s">
        <v>78</v>
      </c>
      <c r="C9" s="116" t="s">
        <v>80</v>
      </c>
      <c r="D9" s="116" t="s">
        <v>46</v>
      </c>
      <c r="E9" s="116" t="s">
        <v>81</v>
      </c>
      <c r="F9" s="116" t="s">
        <v>77</v>
      </c>
      <c r="G9" s="141" t="s">
        <v>63</v>
      </c>
      <c r="H9" s="116" t="s">
        <v>83</v>
      </c>
      <c r="I9" s="116" t="s">
        <v>77</v>
      </c>
      <c r="J9" s="116" t="s">
        <v>78</v>
      </c>
      <c r="K9" s="116" t="s">
        <v>80</v>
      </c>
      <c r="L9" s="116" t="s">
        <v>46</v>
      </c>
      <c r="M9" s="116" t="s">
        <v>81</v>
      </c>
      <c r="N9" s="116" t="s">
        <v>77</v>
      </c>
      <c r="O9" s="116" t="s">
        <v>63</v>
      </c>
      <c r="P9" s="116" t="s">
        <v>83</v>
      </c>
      <c r="Q9" s="116" t="s">
        <v>77</v>
      </c>
      <c r="R9" s="441" t="s">
        <v>77</v>
      </c>
      <c r="S9" s="116" t="s">
        <v>83</v>
      </c>
      <c r="T9" s="116" t="s">
        <v>77</v>
      </c>
      <c r="U9" s="467"/>
      <c r="V9" s="126"/>
    </row>
    <row r="10" spans="1:22" s="510" customFormat="1" ht="27.75">
      <c r="A10" s="151"/>
      <c r="B10" s="151" t="s">
        <v>79</v>
      </c>
      <c r="C10" s="151" t="s">
        <v>79</v>
      </c>
      <c r="D10" s="151"/>
      <c r="E10" s="151" t="s">
        <v>82</v>
      </c>
      <c r="F10" s="151" t="s">
        <v>47</v>
      </c>
      <c r="G10" s="152"/>
      <c r="H10" s="151" t="s">
        <v>84</v>
      </c>
      <c r="I10" s="151" t="s">
        <v>85</v>
      </c>
      <c r="J10" s="151" t="s">
        <v>79</v>
      </c>
      <c r="K10" s="151" t="s">
        <v>79</v>
      </c>
      <c r="L10" s="151"/>
      <c r="M10" s="151" t="s">
        <v>82</v>
      </c>
      <c r="N10" s="151" t="s">
        <v>47</v>
      </c>
      <c r="O10" s="151"/>
      <c r="P10" s="151" t="s">
        <v>84</v>
      </c>
      <c r="Q10" s="151" t="s">
        <v>85</v>
      </c>
      <c r="R10" s="153" t="s">
        <v>47</v>
      </c>
      <c r="S10" s="151" t="s">
        <v>84</v>
      </c>
      <c r="T10" s="151" t="s">
        <v>85</v>
      </c>
      <c r="U10" s="467"/>
      <c r="V10" s="126"/>
    </row>
    <row r="11" spans="1:22" s="510" customFormat="1" ht="27.75">
      <c r="A11" s="151"/>
      <c r="B11" s="153"/>
      <c r="C11" s="153"/>
      <c r="D11" s="153"/>
      <c r="E11" s="153"/>
      <c r="F11" s="153"/>
      <c r="G11" s="152"/>
      <c r="H11" s="151"/>
      <c r="I11" s="151"/>
      <c r="J11" s="151"/>
      <c r="K11" s="151"/>
      <c r="L11" s="151"/>
      <c r="M11" s="151"/>
      <c r="N11" s="151"/>
      <c r="O11" s="151"/>
      <c r="P11" s="151"/>
      <c r="Q11" s="151"/>
      <c r="R11" s="153" t="s">
        <v>125</v>
      </c>
      <c r="S11" s="151" t="s">
        <v>125</v>
      </c>
      <c r="T11" s="151" t="s">
        <v>125</v>
      </c>
      <c r="U11" s="467"/>
      <c r="V11" s="126"/>
    </row>
    <row r="12" spans="1:22" s="511" customFormat="1">
      <c r="A12" s="154" t="s">
        <v>149</v>
      </c>
      <c r="B12" s="154" t="s">
        <v>150</v>
      </c>
      <c r="C12" s="154" t="s">
        <v>151</v>
      </c>
      <c r="D12" s="154" t="s">
        <v>152</v>
      </c>
      <c r="E12" s="154" t="s">
        <v>174</v>
      </c>
      <c r="F12" s="154" t="s">
        <v>119</v>
      </c>
      <c r="G12" s="141" t="s">
        <v>154</v>
      </c>
      <c r="H12" s="154" t="s">
        <v>155</v>
      </c>
      <c r="I12" s="154" t="s">
        <v>120</v>
      </c>
      <c r="J12" s="154" t="s">
        <v>121</v>
      </c>
      <c r="K12" s="154" t="s">
        <v>122</v>
      </c>
      <c r="L12" s="154" t="s">
        <v>158</v>
      </c>
      <c r="M12" s="154" t="s">
        <v>159</v>
      </c>
      <c r="N12" s="154" t="s">
        <v>160</v>
      </c>
      <c r="O12" s="154" t="s">
        <v>161</v>
      </c>
      <c r="P12" s="154" t="s">
        <v>123</v>
      </c>
      <c r="Q12" s="154" t="s">
        <v>124</v>
      </c>
      <c r="R12" s="442" t="s">
        <v>17</v>
      </c>
      <c r="S12" s="154" t="s">
        <v>15</v>
      </c>
      <c r="T12" s="154" t="s">
        <v>13</v>
      </c>
      <c r="U12" s="468"/>
      <c r="V12" s="155"/>
    </row>
    <row r="13" spans="1:22" s="511" customFormat="1">
      <c r="A13" s="156"/>
      <c r="B13" s="157"/>
      <c r="C13" s="157"/>
      <c r="D13" s="157"/>
      <c r="E13" s="157"/>
      <c r="F13" s="157"/>
      <c r="G13" s="158"/>
      <c r="H13" s="156"/>
      <c r="I13" s="156"/>
      <c r="J13" s="156"/>
      <c r="K13" s="156"/>
      <c r="L13" s="156"/>
      <c r="M13" s="156"/>
      <c r="N13" s="157"/>
      <c r="O13" s="156"/>
      <c r="P13" s="156"/>
      <c r="Q13" s="157"/>
      <c r="R13" s="157" t="s">
        <v>18</v>
      </c>
      <c r="S13" s="156" t="s">
        <v>16</v>
      </c>
      <c r="T13" s="156" t="s">
        <v>14</v>
      </c>
      <c r="U13" s="468"/>
      <c r="V13" s="155"/>
    </row>
    <row r="14" spans="1:22" s="100" customFormat="1">
      <c r="A14" s="159" t="s">
        <v>66</v>
      </c>
      <c r="B14" s="160">
        <f>SUM(B15:B29)</f>
        <v>1315557320.7300003</v>
      </c>
      <c r="C14" s="160">
        <f>SUM(C15:C29)</f>
        <v>16723461.279999997</v>
      </c>
      <c r="D14" s="160">
        <f>SUM(D15:D29)</f>
        <v>80927945.109999985</v>
      </c>
      <c r="E14" s="160">
        <f>SUM(E15:E29)</f>
        <v>191629065.87</v>
      </c>
      <c r="F14" s="160">
        <f>SUM(F15:F29)</f>
        <v>1604837792.9899998</v>
      </c>
      <c r="G14" s="161">
        <f>+G15+G16+G17+G18+G19+G20+G21+G22+G25+G28</f>
        <v>4475204</v>
      </c>
      <c r="H14" s="162"/>
      <c r="I14" s="160"/>
      <c r="J14" s="160">
        <f>SUM(J15:J33)</f>
        <v>1649908001.9346092</v>
      </c>
      <c r="K14" s="160">
        <f t="shared" ref="K14:M14" si="0">SUM(K15:K33)</f>
        <v>9078621.5515149999</v>
      </c>
      <c r="L14" s="160">
        <f t="shared" si="0"/>
        <v>83496412.296989992</v>
      </c>
      <c r="M14" s="160">
        <f t="shared" si="0"/>
        <v>225858485.62241897</v>
      </c>
      <c r="N14" s="160">
        <f>SUM(N15:N33)</f>
        <v>1968341521.4055328</v>
      </c>
      <c r="O14" s="161">
        <f>+O15+O16+O18+O19+O20+O21+O22+O25+O28+O29+O30+O31</f>
        <v>4693526</v>
      </c>
      <c r="P14" s="162"/>
      <c r="Q14" s="160"/>
      <c r="R14" s="163"/>
      <c r="S14" s="160"/>
      <c r="T14" s="163"/>
      <c r="U14" s="140"/>
      <c r="V14" s="101"/>
    </row>
    <row r="15" spans="1:22" s="100" customFormat="1">
      <c r="A15" s="417" t="s">
        <v>254</v>
      </c>
      <c r="B15" s="98">
        <v>122609942.292036</v>
      </c>
      <c r="C15" s="98">
        <v>1558626.5912959999</v>
      </c>
      <c r="D15" s="98">
        <v>7542484.4842520002</v>
      </c>
      <c r="E15" s="98">
        <v>17859828.939084001</v>
      </c>
      <c r="F15" s="98">
        <f>SUM(B15:E15)</f>
        <v>149570882.30666801</v>
      </c>
      <c r="G15" s="104">
        <v>35454</v>
      </c>
      <c r="H15" s="105" t="s">
        <v>68</v>
      </c>
      <c r="I15" s="98">
        <f>SUM(F15/G15)</f>
        <v>4218.73081476471</v>
      </c>
      <c r="J15" s="103">
        <v>371064309.63405699</v>
      </c>
      <c r="K15" s="103">
        <v>2041781.9865950001</v>
      </c>
      <c r="L15" s="103">
        <v>18778343.12627</v>
      </c>
      <c r="M15" s="103">
        <v>50795573.418187</v>
      </c>
      <c r="N15" s="340">
        <v>442680008.16510898</v>
      </c>
      <c r="O15" s="389">
        <v>149401</v>
      </c>
      <c r="P15" s="390" t="s">
        <v>68</v>
      </c>
      <c r="Q15" s="103">
        <v>2963.0324306069501</v>
      </c>
      <c r="R15" s="165">
        <f t="shared" ref="R15:S28" si="1">SUM((N15-F15)*100/F15)</f>
        <v>195.96670243441756</v>
      </c>
      <c r="S15" s="164">
        <f t="shared" si="1"/>
        <v>321.39391888080331</v>
      </c>
      <c r="T15" s="356">
        <f>SUM((Q15-I15)*100/I15)</f>
        <v>-29.764837798208596</v>
      </c>
      <c r="U15" s="140"/>
      <c r="V15" s="101"/>
    </row>
    <row r="16" spans="1:22">
      <c r="A16" s="247" t="s">
        <v>201</v>
      </c>
      <c r="B16" s="103">
        <v>23416920.308994003</v>
      </c>
      <c r="C16" s="103">
        <v>297677.61078400002</v>
      </c>
      <c r="D16" s="103">
        <v>1440517.4229580001</v>
      </c>
      <c r="E16" s="103">
        <v>3410997.3724859999</v>
      </c>
      <c r="F16" s="98">
        <f>SUM(B16:E16)</f>
        <v>28566112.715222005</v>
      </c>
      <c r="G16" s="396">
        <v>1586</v>
      </c>
      <c r="H16" s="393" t="s">
        <v>68</v>
      </c>
      <c r="I16" s="98">
        <f>SUM(F16/G16)</f>
        <v>18011.420375297606</v>
      </c>
      <c r="J16" s="103">
        <v>68141200.479708999</v>
      </c>
      <c r="K16" s="103">
        <v>374947.070015</v>
      </c>
      <c r="L16" s="103">
        <v>3448401.8279899997</v>
      </c>
      <c r="M16" s="103">
        <v>9327955.4565190002</v>
      </c>
      <c r="N16" s="340">
        <v>81292504.834232986</v>
      </c>
      <c r="O16" s="389">
        <v>2210</v>
      </c>
      <c r="P16" s="390" t="s">
        <v>68</v>
      </c>
      <c r="Q16" s="103">
        <v>36783.938839019451</v>
      </c>
      <c r="R16" s="165">
        <f t="shared" si="1"/>
        <v>184.57671383098165</v>
      </c>
      <c r="S16" s="164">
        <f t="shared" si="1"/>
        <v>39.344262295081968</v>
      </c>
      <c r="T16" s="459">
        <f t="shared" ref="T16:T25" si="2">SUM((Q16-I16)*100/I16)</f>
        <v>104.22564169046919</v>
      </c>
    </row>
    <row r="17" spans="1:22">
      <c r="A17" s="311" t="s">
        <v>255</v>
      </c>
      <c r="B17" s="103">
        <v>165233999.483688</v>
      </c>
      <c r="C17" s="103">
        <v>2100466.7367680003</v>
      </c>
      <c r="D17" s="103">
        <v>10164549.905816</v>
      </c>
      <c r="E17" s="103">
        <v>24068610.673271999</v>
      </c>
      <c r="F17" s="103">
        <f>SUM(B17:E17)</f>
        <v>201567626.79954398</v>
      </c>
      <c r="G17" s="389">
        <v>128332</v>
      </c>
      <c r="H17" s="390" t="s">
        <v>68</v>
      </c>
      <c r="I17" s="98">
        <f>SUM(F17/G17)</f>
        <v>1570.6731508863259</v>
      </c>
      <c r="J17" s="103">
        <v>56426853.666005999</v>
      </c>
      <c r="K17" s="103">
        <v>310488.85701000004</v>
      </c>
      <c r="L17" s="103">
        <v>2855577.3006599997</v>
      </c>
      <c r="M17" s="103">
        <v>7724360.2085459996</v>
      </c>
      <c r="N17" s="340">
        <v>67317280.032222003</v>
      </c>
      <c r="O17" s="389">
        <v>260</v>
      </c>
      <c r="P17" s="390" t="s">
        <v>282</v>
      </c>
      <c r="Q17" s="103">
        <v>258912.61550854615</v>
      </c>
      <c r="R17" s="199">
        <f t="shared" si="1"/>
        <v>-66.603129132850256</v>
      </c>
      <c r="S17" s="199">
        <f t="shared" si="1"/>
        <v>-99.797400492472647</v>
      </c>
      <c r="T17" s="459">
        <f t="shared" si="2"/>
        <v>16384.181662011768</v>
      </c>
    </row>
    <row r="18" spans="1:22">
      <c r="A18" s="118" t="s">
        <v>202</v>
      </c>
      <c r="B18" s="98">
        <v>106297031.514984</v>
      </c>
      <c r="C18" s="98">
        <v>1351255.6714240001</v>
      </c>
      <c r="D18" s="98">
        <v>6538977.9648880009</v>
      </c>
      <c r="E18" s="98">
        <v>15483628.522296</v>
      </c>
      <c r="F18" s="103">
        <f>SUM(B18:E18)</f>
        <v>129670893.673592</v>
      </c>
      <c r="G18" s="104">
        <v>12553</v>
      </c>
      <c r="H18" s="105" t="s">
        <v>68</v>
      </c>
      <c r="I18" s="103">
        <f>SUM(F18/G18)</f>
        <v>10329.872833075122</v>
      </c>
      <c r="J18" s="103">
        <v>112193744.13124001</v>
      </c>
      <c r="K18" s="103">
        <v>617346.26540000003</v>
      </c>
      <c r="L18" s="103">
        <v>5677756.0363999996</v>
      </c>
      <c r="M18" s="103">
        <v>15358377.022839999</v>
      </c>
      <c r="N18" s="164">
        <v>133847223.45588002</v>
      </c>
      <c r="O18" s="104">
        <v>10324</v>
      </c>
      <c r="P18" s="105" t="s">
        <v>68</v>
      </c>
      <c r="Q18" s="98">
        <v>12964.667130557926</v>
      </c>
      <c r="R18" s="165">
        <f t="shared" si="1"/>
        <v>3.2207148913469248</v>
      </c>
      <c r="S18" s="199">
        <f t="shared" si="1"/>
        <v>-17.756711543057435</v>
      </c>
      <c r="T18" s="459">
        <f t="shared" si="2"/>
        <v>25.506551145978108</v>
      </c>
    </row>
    <row r="19" spans="1:22">
      <c r="A19" s="57" t="s">
        <v>203</v>
      </c>
      <c r="B19" s="98">
        <v>55516518.934805997</v>
      </c>
      <c r="C19" s="98">
        <v>705730.06601599988</v>
      </c>
      <c r="D19" s="98">
        <v>3415159.2836420001</v>
      </c>
      <c r="E19" s="98">
        <v>8086746.5797140002</v>
      </c>
      <c r="F19" s="103">
        <f t="shared" ref="F19:F25" si="3">SUM(B19:E19)</f>
        <v>67724154.864178002</v>
      </c>
      <c r="G19" s="104">
        <v>2288</v>
      </c>
      <c r="H19" s="105" t="s">
        <v>68</v>
      </c>
      <c r="I19" s="98">
        <f t="shared" ref="I19:I24" si="4">SUM(F19/G19)</f>
        <v>29599.718035042832</v>
      </c>
      <c r="J19" s="103">
        <v>64016430.474884003</v>
      </c>
      <c r="K19" s="103">
        <v>352250.51614000002</v>
      </c>
      <c r="L19" s="103">
        <v>3239660.7972399998</v>
      </c>
      <c r="M19" s="103">
        <v>8763309.2424439993</v>
      </c>
      <c r="N19" s="164">
        <v>76371651.030708</v>
      </c>
      <c r="O19" s="104">
        <v>2273</v>
      </c>
      <c r="P19" s="105" t="s">
        <v>68</v>
      </c>
      <c r="Q19" s="98">
        <v>33599.494514169819</v>
      </c>
      <c r="R19" s="165">
        <f t="shared" si="1"/>
        <v>12.768702959634869</v>
      </c>
      <c r="S19" s="199">
        <f t="shared" si="1"/>
        <v>-0.65559440559440563</v>
      </c>
      <c r="T19" s="459">
        <f t="shared" si="2"/>
        <v>13.512887097071969</v>
      </c>
    </row>
    <row r="20" spans="1:22">
      <c r="A20" s="119" t="s">
        <v>204</v>
      </c>
      <c r="B20" s="98">
        <v>241536324.08602798</v>
      </c>
      <c r="C20" s="98">
        <v>3070427.491008</v>
      </c>
      <c r="D20" s="98">
        <v>14858370.722196</v>
      </c>
      <c r="E20" s="98">
        <v>35183096.493731998</v>
      </c>
      <c r="F20" s="103">
        <f t="shared" si="3"/>
        <v>294648218.79296398</v>
      </c>
      <c r="G20" s="104">
        <v>3035</v>
      </c>
      <c r="H20" s="105" t="s">
        <v>68</v>
      </c>
      <c r="I20" s="98">
        <f t="shared" si="4"/>
        <v>97083.432880713008</v>
      </c>
      <c r="J20" s="103">
        <v>0</v>
      </c>
      <c r="K20" s="103">
        <v>0</v>
      </c>
      <c r="L20" s="103">
        <v>0</v>
      </c>
      <c r="M20" s="103">
        <v>0</v>
      </c>
      <c r="N20" s="164">
        <f t="shared" ref="N20" si="5">SUM(J20:M20)</f>
        <v>0</v>
      </c>
      <c r="O20" s="104">
        <v>0</v>
      </c>
      <c r="P20" s="99" t="s">
        <v>303</v>
      </c>
      <c r="Q20" s="98">
        <v>0</v>
      </c>
      <c r="R20" s="199">
        <f t="shared" si="1"/>
        <v>-100</v>
      </c>
      <c r="S20" s="199">
        <f t="shared" si="1"/>
        <v>-100</v>
      </c>
      <c r="T20" s="356">
        <f t="shared" si="2"/>
        <v>-100</v>
      </c>
    </row>
    <row r="21" spans="1:22">
      <c r="A21" s="57" t="s">
        <v>205</v>
      </c>
      <c r="B21" s="98">
        <v>115505932.76009399</v>
      </c>
      <c r="C21" s="98">
        <v>1468319.900384</v>
      </c>
      <c r="D21" s="98">
        <v>7105473.580658</v>
      </c>
      <c r="E21" s="98">
        <v>16825031.983385999</v>
      </c>
      <c r="F21" s="103">
        <f t="shared" si="3"/>
        <v>140904758.22452199</v>
      </c>
      <c r="G21" s="104">
        <v>42990</v>
      </c>
      <c r="H21" s="105" t="s">
        <v>68</v>
      </c>
      <c r="I21" s="98">
        <f>SUM(F21/G21)</f>
        <v>3277.6170789607349</v>
      </c>
      <c r="J21" s="103">
        <v>131827649.35420699</v>
      </c>
      <c r="K21" s="103">
        <v>725381.86184500006</v>
      </c>
      <c r="L21" s="103">
        <v>6671363.3427699991</v>
      </c>
      <c r="M21" s="103">
        <v>18046093.001837</v>
      </c>
      <c r="N21" s="164">
        <v>157270487.56065899</v>
      </c>
      <c r="O21" s="104">
        <v>44001</v>
      </c>
      <c r="P21" s="105" t="s">
        <v>68</v>
      </c>
      <c r="Q21" s="98">
        <v>3574.2480298324808</v>
      </c>
      <c r="R21" s="165">
        <f t="shared" si="1"/>
        <v>11.614745692306101</v>
      </c>
      <c r="S21" s="164">
        <f t="shared" si="1"/>
        <v>2.3517096999302165</v>
      </c>
      <c r="T21" s="459">
        <f t="shared" si="2"/>
        <v>9.0502015252434997</v>
      </c>
    </row>
    <row r="22" spans="1:22">
      <c r="A22" s="119" t="s">
        <v>206</v>
      </c>
      <c r="B22" s="98">
        <v>300736403.51887798</v>
      </c>
      <c r="C22" s="98">
        <v>3822983.2486079996</v>
      </c>
      <c r="D22" s="98">
        <v>18500128.252145998</v>
      </c>
      <c r="E22" s="98">
        <v>43806404.457882002</v>
      </c>
      <c r="F22" s="103">
        <f t="shared" si="3"/>
        <v>366865919.47751397</v>
      </c>
      <c r="G22" s="104">
        <v>12698</v>
      </c>
      <c r="H22" s="105" t="s">
        <v>68</v>
      </c>
      <c r="I22" s="98">
        <f t="shared" si="4"/>
        <v>28891.630136833672</v>
      </c>
      <c r="J22" s="103">
        <v>0</v>
      </c>
      <c r="K22" s="103">
        <v>0</v>
      </c>
      <c r="L22" s="103">
        <v>0</v>
      </c>
      <c r="M22" s="103">
        <v>0</v>
      </c>
      <c r="N22" s="164">
        <f>SUM(J22:M22)</f>
        <v>0</v>
      </c>
      <c r="O22" s="104">
        <v>0</v>
      </c>
      <c r="P22" s="99" t="s">
        <v>303</v>
      </c>
      <c r="Q22" s="98">
        <v>0</v>
      </c>
      <c r="R22" s="199">
        <f t="shared" si="1"/>
        <v>-100</v>
      </c>
      <c r="S22" s="199">
        <f t="shared" si="1"/>
        <v>-100</v>
      </c>
      <c r="T22" s="356">
        <f t="shared" si="2"/>
        <v>-100</v>
      </c>
    </row>
    <row r="23" spans="1:22">
      <c r="A23" s="118" t="s">
        <v>230</v>
      </c>
      <c r="B23" s="98">
        <v>87484561.828545004</v>
      </c>
      <c r="C23" s="98">
        <v>1112110.17512</v>
      </c>
      <c r="D23" s="98">
        <v>5381708.3498149998</v>
      </c>
      <c r="E23" s="98">
        <v>12743332.880355</v>
      </c>
      <c r="F23" s="103">
        <f t="shared" si="3"/>
        <v>106721713.233835</v>
      </c>
      <c r="G23" s="104">
        <v>13</v>
      </c>
      <c r="H23" s="105" t="s">
        <v>108</v>
      </c>
      <c r="I23" s="98">
        <f t="shared" si="4"/>
        <v>8209362.5564488461</v>
      </c>
      <c r="J23" s="103">
        <v>99819434.116765007</v>
      </c>
      <c r="K23" s="103">
        <v>549256.60377500008</v>
      </c>
      <c r="L23" s="103">
        <v>5051532.9441499999</v>
      </c>
      <c r="M23" s="103">
        <v>13664438.380614998</v>
      </c>
      <c r="N23" s="164">
        <v>119084662.045305</v>
      </c>
      <c r="O23" s="104">
        <v>28</v>
      </c>
      <c r="P23" s="105" t="s">
        <v>108</v>
      </c>
      <c r="Q23" s="98">
        <v>4253023.6444751788</v>
      </c>
      <c r="R23" s="165">
        <f t="shared" si="1"/>
        <v>11.584286305807224</v>
      </c>
      <c r="S23" s="164">
        <f t="shared" si="1"/>
        <v>115.38461538461539</v>
      </c>
      <c r="T23" s="356">
        <f t="shared" si="2"/>
        <v>-48.193009929446646</v>
      </c>
      <c r="U23" s="132"/>
      <c r="V23" s="132"/>
    </row>
    <row r="24" spans="1:22">
      <c r="A24" s="57" t="s">
        <v>256</v>
      </c>
      <c r="B24" s="98">
        <v>44071170.244455002</v>
      </c>
      <c r="C24" s="98">
        <v>560235.95288</v>
      </c>
      <c r="D24" s="98">
        <v>2711086.1611850001</v>
      </c>
      <c r="E24" s="98">
        <v>6419573.7066449998</v>
      </c>
      <c r="F24" s="103">
        <f t="shared" si="3"/>
        <v>53762066.065164998</v>
      </c>
      <c r="G24" s="104">
        <v>128</v>
      </c>
      <c r="H24" s="105" t="s">
        <v>72</v>
      </c>
      <c r="I24" s="98">
        <f t="shared" si="4"/>
        <v>420016.14113410155</v>
      </c>
      <c r="J24" s="103">
        <v>51147148.064438999</v>
      </c>
      <c r="K24" s="103">
        <v>281437.26956500002</v>
      </c>
      <c r="L24" s="103">
        <v>2588388.7782899998</v>
      </c>
      <c r="M24" s="103">
        <v>7001613.0469490001</v>
      </c>
      <c r="N24" s="164">
        <v>61018587.159243003</v>
      </c>
      <c r="O24" s="104">
        <v>111</v>
      </c>
      <c r="P24" s="105" t="s">
        <v>72</v>
      </c>
      <c r="Q24" s="98">
        <v>549717.00143462163</v>
      </c>
      <c r="R24" s="165">
        <f t="shared" si="1"/>
        <v>13.497474381439091</v>
      </c>
      <c r="S24" s="199">
        <f t="shared" si="1"/>
        <v>-13.28125</v>
      </c>
      <c r="T24" s="459">
        <f t="shared" si="2"/>
        <v>30.879970457875704</v>
      </c>
      <c r="U24" s="132"/>
      <c r="V24" s="132"/>
    </row>
    <row r="25" spans="1:22">
      <c r="A25" s="247" t="s">
        <v>296</v>
      </c>
      <c r="B25" s="98">
        <v>20522694.203388002</v>
      </c>
      <c r="C25" s="98">
        <v>260885.995968</v>
      </c>
      <c r="D25" s="98">
        <v>1262475.9437160001</v>
      </c>
      <c r="E25" s="98">
        <v>2989413.4275719998</v>
      </c>
      <c r="F25" s="103">
        <f t="shared" si="3"/>
        <v>25035469.570644002</v>
      </c>
      <c r="G25" s="104">
        <v>4220799</v>
      </c>
      <c r="H25" s="105" t="s">
        <v>68</v>
      </c>
      <c r="I25" s="98">
        <f>SUM(F25/G25)</f>
        <v>5.931452687191217</v>
      </c>
      <c r="J25" s="103">
        <v>621685335.12722409</v>
      </c>
      <c r="K25" s="103">
        <v>3420824.6000399999</v>
      </c>
      <c r="L25" s="103">
        <v>31461448.154639997</v>
      </c>
      <c r="M25" s="103">
        <v>85103477.385383993</v>
      </c>
      <c r="N25" s="164">
        <v>741671085.26728797</v>
      </c>
      <c r="O25" s="104">
        <v>4456177</v>
      </c>
      <c r="P25" s="105" t="s">
        <v>68</v>
      </c>
      <c r="Q25" s="98">
        <v>166.43663060674834</v>
      </c>
      <c r="R25" s="165">
        <f t="shared" si="1"/>
        <v>2862.4812235874892</v>
      </c>
      <c r="S25" s="164">
        <f t="shared" si="1"/>
        <v>5.5766218670919887</v>
      </c>
      <c r="T25" s="459">
        <f t="shared" si="2"/>
        <v>2706.001149872829</v>
      </c>
      <c r="U25" s="132"/>
      <c r="V25" s="132"/>
    </row>
    <row r="26" spans="1:22">
      <c r="A26" s="247" t="s">
        <v>222</v>
      </c>
      <c r="B26" s="98"/>
      <c r="C26" s="98"/>
      <c r="D26" s="98"/>
      <c r="E26" s="98"/>
      <c r="F26" s="98"/>
      <c r="G26" s="104"/>
      <c r="H26" s="105"/>
      <c r="I26" s="98"/>
      <c r="J26" s="98"/>
      <c r="K26" s="98"/>
      <c r="L26" s="98"/>
      <c r="M26" s="98"/>
      <c r="N26" s="98"/>
      <c r="O26" s="104"/>
      <c r="P26" s="105"/>
      <c r="Q26" s="98"/>
      <c r="R26" s="165"/>
      <c r="S26" s="164"/>
      <c r="T26" s="459"/>
      <c r="U26" s="132"/>
      <c r="V26" s="132"/>
    </row>
    <row r="27" spans="1:22">
      <c r="A27" s="247" t="s">
        <v>11</v>
      </c>
      <c r="B27" s="98"/>
      <c r="C27" s="98"/>
      <c r="D27" s="98"/>
      <c r="E27" s="98"/>
      <c r="F27" s="98"/>
      <c r="G27" s="104"/>
      <c r="H27" s="105"/>
      <c r="I27" s="98"/>
      <c r="J27" s="98"/>
      <c r="K27" s="98"/>
      <c r="L27" s="98"/>
      <c r="M27" s="98"/>
      <c r="N27" s="98"/>
      <c r="O27" s="104"/>
      <c r="P27" s="105"/>
      <c r="Q27" s="98"/>
      <c r="R27" s="165"/>
      <c r="S27" s="164"/>
      <c r="T27" s="459"/>
      <c r="U27" s="132"/>
      <c r="V27" s="132"/>
    </row>
    <row r="28" spans="1:22">
      <c r="A28" s="118" t="s">
        <v>257</v>
      </c>
      <c r="B28" s="98">
        <v>32625821.554104</v>
      </c>
      <c r="C28" s="98">
        <v>414741.839744</v>
      </c>
      <c r="D28" s="98">
        <v>2007013.0387279999</v>
      </c>
      <c r="E28" s="98">
        <v>4752400.8335760003</v>
      </c>
      <c r="F28" s="103">
        <f t="shared" ref="F28:F33" si="6">SUM(B28:E28)</f>
        <v>39799977.266152002</v>
      </c>
      <c r="G28" s="104">
        <v>15469</v>
      </c>
      <c r="H28" s="104" t="s">
        <v>68</v>
      </c>
      <c r="I28" s="98">
        <f>SUM(F28/G28)</f>
        <v>2572.886241266533</v>
      </c>
      <c r="J28" s="103">
        <v>38277865.644776002</v>
      </c>
      <c r="K28" s="103">
        <v>210624.01996000001</v>
      </c>
      <c r="L28" s="103">
        <v>1937116.7653599998</v>
      </c>
      <c r="M28" s="103">
        <v>5239916.8666159995</v>
      </c>
      <c r="N28" s="164">
        <v>45665523.296711996</v>
      </c>
      <c r="O28" s="104">
        <v>15885</v>
      </c>
      <c r="P28" s="105" t="s">
        <v>68</v>
      </c>
      <c r="Q28" s="98">
        <v>2874.7575257609064</v>
      </c>
      <c r="R28" s="165">
        <f t="shared" si="1"/>
        <v>14.737561258730576</v>
      </c>
      <c r="S28" s="164">
        <f t="shared" si="1"/>
        <v>2.6892494666752862</v>
      </c>
      <c r="T28" s="459">
        <f t="shared" ref="T28:T72" si="7">SUM((Q28-I28)*100/I28)</f>
        <v>11.732787857179948</v>
      </c>
      <c r="U28" s="132"/>
      <c r="V28" s="132"/>
    </row>
    <row r="29" spans="1:22">
      <c r="A29" s="118" t="s">
        <v>297</v>
      </c>
      <c r="B29" s="98">
        <v>0</v>
      </c>
      <c r="C29" s="98">
        <v>0</v>
      </c>
      <c r="D29" s="98">
        <v>0</v>
      </c>
      <c r="E29" s="98">
        <v>0</v>
      </c>
      <c r="F29" s="103">
        <f t="shared" si="6"/>
        <v>0</v>
      </c>
      <c r="G29" s="104">
        <v>0</v>
      </c>
      <c r="H29" s="104">
        <v>0</v>
      </c>
      <c r="I29" s="98">
        <v>0</v>
      </c>
      <c r="J29" s="103">
        <v>9899448.0115799997</v>
      </c>
      <c r="K29" s="103">
        <v>54471.729300000006</v>
      </c>
      <c r="L29" s="103">
        <v>500978.47379999998</v>
      </c>
      <c r="M29" s="103">
        <v>1355150.9137799998</v>
      </c>
      <c r="N29" s="164">
        <v>11810049.128459999</v>
      </c>
      <c r="O29" s="104">
        <v>3604</v>
      </c>
      <c r="P29" s="105" t="s">
        <v>68</v>
      </c>
      <c r="Q29" s="98">
        <v>3276.9281710488344</v>
      </c>
      <c r="R29" s="165">
        <v>100</v>
      </c>
      <c r="S29" s="164">
        <v>100</v>
      </c>
      <c r="T29" s="459">
        <v>100</v>
      </c>
      <c r="U29" s="132"/>
      <c r="V29" s="132"/>
    </row>
    <row r="30" spans="1:22">
      <c r="A30" s="118" t="s">
        <v>298</v>
      </c>
      <c r="B30" s="98">
        <v>0</v>
      </c>
      <c r="C30" s="98">
        <v>0</v>
      </c>
      <c r="D30" s="98">
        <v>0</v>
      </c>
      <c r="E30" s="98">
        <v>0</v>
      </c>
      <c r="F30" s="103">
        <f t="shared" si="6"/>
        <v>0</v>
      </c>
      <c r="G30" s="104">
        <v>0</v>
      </c>
      <c r="H30" s="104">
        <v>0</v>
      </c>
      <c r="I30" s="98">
        <v>0</v>
      </c>
      <c r="J30" s="103">
        <v>2144880.4025090002</v>
      </c>
      <c r="K30" s="103">
        <v>11802.208015</v>
      </c>
      <c r="L30" s="103">
        <v>108545.33598999999</v>
      </c>
      <c r="M30" s="103">
        <v>293616.031319</v>
      </c>
      <c r="N30" s="164">
        <v>2558843.977833</v>
      </c>
      <c r="O30" s="104">
        <v>59</v>
      </c>
      <c r="P30" s="105" t="s">
        <v>68</v>
      </c>
      <c r="Q30" s="98">
        <v>43370.23691242373</v>
      </c>
      <c r="R30" s="165">
        <v>100</v>
      </c>
      <c r="S30" s="164">
        <v>100</v>
      </c>
      <c r="T30" s="459">
        <v>100</v>
      </c>
      <c r="U30" s="132"/>
      <c r="V30" s="132"/>
    </row>
    <row r="31" spans="1:22">
      <c r="A31" s="118" t="s">
        <v>299</v>
      </c>
      <c r="B31" s="98">
        <v>0</v>
      </c>
      <c r="C31" s="98">
        <v>0</v>
      </c>
      <c r="D31" s="98">
        <v>0</v>
      </c>
      <c r="E31" s="98">
        <v>0</v>
      </c>
      <c r="F31" s="103">
        <f t="shared" si="6"/>
        <v>0</v>
      </c>
      <c r="G31" s="104">
        <v>0</v>
      </c>
      <c r="H31" s="104">
        <v>0</v>
      </c>
      <c r="I31" s="98">
        <v>0</v>
      </c>
      <c r="J31" s="103">
        <v>9404475.6110009998</v>
      </c>
      <c r="K31" s="103">
        <v>51748.142834999999</v>
      </c>
      <c r="L31" s="103">
        <v>475929.55010999995</v>
      </c>
      <c r="M31" s="103">
        <v>1287393.3680909998</v>
      </c>
      <c r="N31" s="164">
        <v>11219546.672037</v>
      </c>
      <c r="O31" s="104">
        <v>9592</v>
      </c>
      <c r="P31" s="105" t="s">
        <v>68</v>
      </c>
      <c r="Q31" s="98">
        <v>1169.6775095951834</v>
      </c>
      <c r="R31" s="165">
        <v>100</v>
      </c>
      <c r="S31" s="164">
        <v>100</v>
      </c>
      <c r="T31" s="459">
        <v>100</v>
      </c>
      <c r="U31" s="132"/>
      <c r="V31" s="132"/>
    </row>
    <row r="32" spans="1:22">
      <c r="A32" s="118" t="s">
        <v>300</v>
      </c>
      <c r="B32" s="98">
        <v>0</v>
      </c>
      <c r="C32" s="98">
        <v>0</v>
      </c>
      <c r="D32" s="98">
        <v>0</v>
      </c>
      <c r="E32" s="98">
        <v>0</v>
      </c>
      <c r="F32" s="103">
        <f t="shared" si="6"/>
        <v>0</v>
      </c>
      <c r="G32" s="104">
        <v>0</v>
      </c>
      <c r="H32" s="104">
        <v>0</v>
      </c>
      <c r="I32" s="98">
        <v>0</v>
      </c>
      <c r="J32" s="103">
        <v>2969834.4034740003</v>
      </c>
      <c r="K32" s="103">
        <v>16341.518790000002</v>
      </c>
      <c r="L32" s="103">
        <v>150293.54214000001</v>
      </c>
      <c r="M32" s="103">
        <v>406545.27413399995</v>
      </c>
      <c r="N32" s="164">
        <v>3543014.7385380003</v>
      </c>
      <c r="O32" s="104">
        <v>87</v>
      </c>
      <c r="P32" s="105" t="s">
        <v>282</v>
      </c>
      <c r="Q32" s="98">
        <v>40724.307339517247</v>
      </c>
      <c r="R32" s="165">
        <v>100</v>
      </c>
      <c r="S32" s="164">
        <v>100</v>
      </c>
      <c r="T32" s="459">
        <v>100</v>
      </c>
      <c r="U32" s="132"/>
      <c r="V32" s="132"/>
    </row>
    <row r="33" spans="1:22">
      <c r="A33" s="118" t="s">
        <v>301</v>
      </c>
      <c r="B33" s="98">
        <v>0</v>
      </c>
      <c r="C33" s="98">
        <v>0</v>
      </c>
      <c r="D33" s="98">
        <v>0</v>
      </c>
      <c r="E33" s="98">
        <v>0</v>
      </c>
      <c r="F33" s="103">
        <f t="shared" si="6"/>
        <v>0</v>
      </c>
      <c r="G33" s="104">
        <v>0</v>
      </c>
      <c r="H33" s="104">
        <v>0</v>
      </c>
      <c r="I33" s="98">
        <v>0</v>
      </c>
      <c r="J33" s="103">
        <v>10889392.812738001</v>
      </c>
      <c r="K33" s="103">
        <v>59918.902230000014</v>
      </c>
      <c r="L33" s="103">
        <v>551076.32117999997</v>
      </c>
      <c r="M33" s="103">
        <v>1490666.0051579999</v>
      </c>
      <c r="N33" s="164">
        <v>12991054.041306</v>
      </c>
      <c r="O33" s="104">
        <v>79</v>
      </c>
      <c r="P33" s="105" t="s">
        <v>282</v>
      </c>
      <c r="Q33" s="98">
        <v>164443.72204184812</v>
      </c>
      <c r="R33" s="165">
        <v>100</v>
      </c>
      <c r="S33" s="164">
        <v>100</v>
      </c>
      <c r="T33" s="459">
        <v>100</v>
      </c>
    </row>
    <row r="34" spans="1:22">
      <c r="A34" s="57"/>
      <c r="B34" s="391"/>
      <c r="C34" s="391"/>
      <c r="D34" s="391"/>
      <c r="E34" s="391"/>
      <c r="F34" s="391"/>
      <c r="G34" s="104"/>
      <c r="H34" s="390"/>
      <c r="I34" s="98"/>
      <c r="J34" s="98"/>
      <c r="K34" s="98"/>
      <c r="L34" s="98"/>
      <c r="M34" s="98"/>
      <c r="N34" s="98"/>
      <c r="O34" s="104"/>
      <c r="P34" s="105"/>
      <c r="Q34" s="98"/>
      <c r="R34" s="165"/>
      <c r="S34" s="164"/>
      <c r="T34" s="459"/>
    </row>
    <row r="35" spans="1:22" s="100" customFormat="1">
      <c r="A35" s="341" t="s">
        <v>67</v>
      </c>
      <c r="B35" s="164">
        <f>SUM(B36:B72)</f>
        <v>363727065.36000007</v>
      </c>
      <c r="C35" s="164">
        <f>SUM(C36:C72)</f>
        <v>1073257.7199999997</v>
      </c>
      <c r="D35" s="164">
        <f>SUM(D36:D72)</f>
        <v>27221960.829999991</v>
      </c>
      <c r="E35" s="164">
        <f>SUM(E36:E72)</f>
        <v>13265579.4</v>
      </c>
      <c r="F35" s="164">
        <f>SUM(F36:F72)</f>
        <v>405287863.31</v>
      </c>
      <c r="G35" s="392"/>
      <c r="H35" s="393"/>
      <c r="I35" s="164"/>
      <c r="J35" s="164">
        <f>SUM(J36:J72)</f>
        <v>403150133.06</v>
      </c>
      <c r="K35" s="164">
        <f>SUM(K36:K72)</f>
        <v>5821550.7300000004</v>
      </c>
      <c r="L35" s="164">
        <f>SUM(L36:L72)</f>
        <v>15874999.450000001</v>
      </c>
      <c r="M35" s="164">
        <f>SUM(M36:M72)</f>
        <v>16747565.420000006</v>
      </c>
      <c r="N35" s="164">
        <f>SUM(N36:N72)</f>
        <v>441594248.66000015</v>
      </c>
      <c r="O35" s="393"/>
      <c r="P35" s="393"/>
      <c r="Q35" s="164"/>
      <c r="R35" s="165"/>
      <c r="S35" s="164"/>
      <c r="T35" s="459"/>
      <c r="U35" s="140"/>
      <c r="V35" s="101"/>
    </row>
    <row r="36" spans="1:22">
      <c r="A36" s="56" t="s">
        <v>207</v>
      </c>
      <c r="B36" s="98">
        <v>7491966.8399999999</v>
      </c>
      <c r="C36" s="98">
        <v>35474.99</v>
      </c>
      <c r="D36" s="98">
        <v>159596.78</v>
      </c>
      <c r="E36" s="98">
        <v>438659.47</v>
      </c>
      <c r="F36" s="103">
        <f>SUM(B36:E36)</f>
        <v>8125698.0800000001</v>
      </c>
      <c r="G36" s="59">
        <v>11212</v>
      </c>
      <c r="H36" s="99" t="s">
        <v>70</v>
      </c>
      <c r="I36" s="98">
        <f>SUM(F36/G36)</f>
        <v>724.73225829468424</v>
      </c>
      <c r="J36" s="98">
        <v>8545388.4900000002</v>
      </c>
      <c r="K36" s="98">
        <v>15560.48</v>
      </c>
      <c r="L36" s="98">
        <v>171942.1</v>
      </c>
      <c r="M36" s="98">
        <v>432743.82</v>
      </c>
      <c r="N36" s="98">
        <f>SUM(J36:M36)</f>
        <v>9165634.8900000006</v>
      </c>
      <c r="O36" s="59">
        <v>12384</v>
      </c>
      <c r="P36" s="99" t="s">
        <v>70</v>
      </c>
      <c r="Q36" s="98">
        <f>SUM(N36/O36)</f>
        <v>740.11909641472869</v>
      </c>
      <c r="R36" s="165">
        <f t="shared" ref="R36:S71" si="8">SUM((N36-F36)*100/F36)</f>
        <v>12.798122693724311</v>
      </c>
      <c r="S36" s="164">
        <f t="shared" si="8"/>
        <v>10.453085979307884</v>
      </c>
      <c r="T36" s="459">
        <f t="shared" si="7"/>
        <v>2.1231065602420012</v>
      </c>
    </row>
    <row r="37" spans="1:22" s="100" customFormat="1">
      <c r="A37" s="57" t="s">
        <v>208</v>
      </c>
      <c r="B37" s="98">
        <v>5996573.0499999998</v>
      </c>
      <c r="C37" s="98">
        <v>24807.48</v>
      </c>
      <c r="D37" s="98">
        <v>245510.23</v>
      </c>
      <c r="E37" s="98">
        <v>177569.41</v>
      </c>
      <c r="F37" s="103">
        <f t="shared" ref="F37:F72" si="9">SUM(B37:E37)</f>
        <v>6444460.1700000009</v>
      </c>
      <c r="G37" s="59">
        <v>545</v>
      </c>
      <c r="H37" s="99" t="s">
        <v>69</v>
      </c>
      <c r="I37" s="98">
        <f>SUM(F37/G37)</f>
        <v>11824.697559633029</v>
      </c>
      <c r="J37" s="98">
        <v>8462728.4800000004</v>
      </c>
      <c r="K37" s="98">
        <v>17730.09</v>
      </c>
      <c r="L37" s="98">
        <v>426545.29</v>
      </c>
      <c r="M37" s="98">
        <v>253641.61</v>
      </c>
      <c r="N37" s="98">
        <f>SUM(J37:M37)</f>
        <v>9160645.4699999988</v>
      </c>
      <c r="O37" s="59">
        <v>545</v>
      </c>
      <c r="P37" s="99" t="s">
        <v>69</v>
      </c>
      <c r="Q37" s="98">
        <f>SUM(N37/O37)</f>
        <v>16808.523798165137</v>
      </c>
      <c r="R37" s="165">
        <f t="shared" si="8"/>
        <v>42.147600083623416</v>
      </c>
      <c r="S37" s="164">
        <f t="shared" si="8"/>
        <v>0</v>
      </c>
      <c r="T37" s="459">
        <f t="shared" si="7"/>
        <v>42.147600083623438</v>
      </c>
      <c r="U37" s="140"/>
      <c r="V37" s="101"/>
    </row>
    <row r="38" spans="1:22" s="100" customFormat="1">
      <c r="A38" s="57" t="s">
        <v>209</v>
      </c>
      <c r="B38" s="98">
        <v>6665952.0899999999</v>
      </c>
      <c r="C38" s="98">
        <v>0</v>
      </c>
      <c r="D38" s="98">
        <v>363574.11</v>
      </c>
      <c r="E38" s="98">
        <v>164548.38</v>
      </c>
      <c r="F38" s="103">
        <f t="shared" si="9"/>
        <v>7194074.5800000001</v>
      </c>
      <c r="G38" s="59">
        <v>49231</v>
      </c>
      <c r="H38" s="99" t="s">
        <v>8</v>
      </c>
      <c r="I38" s="98">
        <f t="shared" ref="I38:I44" si="10">SUM(F38/G38)</f>
        <v>146.12895492677379</v>
      </c>
      <c r="J38" s="98">
        <v>5212282.6100000003</v>
      </c>
      <c r="K38" s="98">
        <v>48900.12</v>
      </c>
      <c r="L38" s="98">
        <v>313237.37</v>
      </c>
      <c r="M38" s="98">
        <v>141196.70000000001</v>
      </c>
      <c r="N38" s="98">
        <f t="shared" ref="N38:N44" si="11">SUM(J38:M38)</f>
        <v>5715616.8000000007</v>
      </c>
      <c r="O38" s="59">
        <v>66077</v>
      </c>
      <c r="P38" s="99" t="s">
        <v>8</v>
      </c>
      <c r="Q38" s="98">
        <f t="shared" ref="Q38:Q44" si="12">SUM(N38/O38)</f>
        <v>86.499338650362461</v>
      </c>
      <c r="R38" s="199">
        <f t="shared" si="8"/>
        <v>-20.551048832746453</v>
      </c>
      <c r="S38" s="164">
        <f t="shared" si="8"/>
        <v>34.218277101826082</v>
      </c>
      <c r="T38" s="356">
        <f t="shared" si="7"/>
        <v>-40.806160768269457</v>
      </c>
      <c r="U38" s="140"/>
      <c r="V38" s="101"/>
    </row>
    <row r="39" spans="1:22" s="100" customFormat="1">
      <c r="A39" s="56" t="s">
        <v>210</v>
      </c>
      <c r="B39" s="98">
        <v>6665952.0800000001</v>
      </c>
      <c r="C39" s="98">
        <v>0</v>
      </c>
      <c r="D39" s="98">
        <v>545361.17000000004</v>
      </c>
      <c r="E39" s="98">
        <v>493645.12</v>
      </c>
      <c r="F39" s="103">
        <f t="shared" si="9"/>
        <v>7704958.3700000001</v>
      </c>
      <c r="G39" s="59">
        <v>278308</v>
      </c>
      <c r="H39" s="99" t="s">
        <v>9</v>
      </c>
      <c r="I39" s="98">
        <f t="shared" si="10"/>
        <v>27.685004994466563</v>
      </c>
      <c r="J39" s="98">
        <v>5212282.6100000003</v>
      </c>
      <c r="K39" s="98">
        <v>48900.12</v>
      </c>
      <c r="L39" s="98">
        <v>469856.06</v>
      </c>
      <c r="M39" s="98">
        <v>423590.1</v>
      </c>
      <c r="N39" s="98">
        <f t="shared" si="11"/>
        <v>6154628.8899999997</v>
      </c>
      <c r="O39" s="59">
        <v>308923</v>
      </c>
      <c r="P39" s="99" t="s">
        <v>218</v>
      </c>
      <c r="Q39" s="98">
        <f t="shared" si="12"/>
        <v>19.922857443440599</v>
      </c>
      <c r="R39" s="199">
        <f t="shared" si="8"/>
        <v>-20.121192166804668</v>
      </c>
      <c r="S39" s="164">
        <f t="shared" si="8"/>
        <v>11.000402431838108</v>
      </c>
      <c r="T39" s="356">
        <f t="shared" si="7"/>
        <v>-28.037370961563472</v>
      </c>
      <c r="U39" s="140"/>
      <c r="V39" s="101"/>
    </row>
    <row r="40" spans="1:22" s="100" customFormat="1">
      <c r="A40" s="58" t="s">
        <v>211</v>
      </c>
      <c r="B40" s="98">
        <v>13318546.880000001</v>
      </c>
      <c r="C40" s="98">
        <v>13357.29</v>
      </c>
      <c r="D40" s="98">
        <v>363574.12</v>
      </c>
      <c r="E40" s="98">
        <v>329096.74</v>
      </c>
      <c r="F40" s="103">
        <f t="shared" si="9"/>
        <v>14024575.029999999</v>
      </c>
      <c r="G40" s="59">
        <v>712</v>
      </c>
      <c r="H40" s="99" t="s">
        <v>69</v>
      </c>
      <c r="I40" s="98">
        <f t="shared" si="10"/>
        <v>19697.43683988764</v>
      </c>
      <c r="J40" s="98">
        <v>10424565.23</v>
      </c>
      <c r="K40" s="98">
        <v>146700.35999999999</v>
      </c>
      <c r="L40" s="98">
        <v>313237.37</v>
      </c>
      <c r="M40" s="98">
        <v>282393.40000000002</v>
      </c>
      <c r="N40" s="98">
        <f t="shared" si="11"/>
        <v>11166896.359999999</v>
      </c>
      <c r="O40" s="59">
        <v>710</v>
      </c>
      <c r="P40" s="99" t="s">
        <v>69</v>
      </c>
      <c r="Q40" s="98">
        <f t="shared" si="12"/>
        <v>15728.023042253521</v>
      </c>
      <c r="R40" s="199">
        <f t="shared" si="8"/>
        <v>-20.376222907910815</v>
      </c>
      <c r="S40" s="199">
        <f t="shared" si="8"/>
        <v>-0.2808988764044944</v>
      </c>
      <c r="T40" s="356">
        <f t="shared" si="7"/>
        <v>-20.151930578073941</v>
      </c>
      <c r="U40" s="140"/>
      <c r="V40" s="101"/>
    </row>
    <row r="41" spans="1:22" s="100" customFormat="1">
      <c r="A41" s="58" t="s">
        <v>212</v>
      </c>
      <c r="B41" s="98">
        <v>11109920.15</v>
      </c>
      <c r="C41" s="98">
        <v>0</v>
      </c>
      <c r="D41" s="98">
        <v>272680.59000000003</v>
      </c>
      <c r="E41" s="98">
        <v>329096.74</v>
      </c>
      <c r="F41" s="103">
        <f t="shared" si="9"/>
        <v>11711697.48</v>
      </c>
      <c r="G41" s="59">
        <v>2608</v>
      </c>
      <c r="H41" s="99" t="s">
        <v>70</v>
      </c>
      <c r="I41" s="98">
        <f t="shared" si="10"/>
        <v>4490.6815490797544</v>
      </c>
      <c r="J41" s="98">
        <v>8687137.6899999995</v>
      </c>
      <c r="K41" s="98">
        <v>146700.35999999999</v>
      </c>
      <c r="L41" s="98">
        <v>234928.03</v>
      </c>
      <c r="M41" s="98">
        <v>282393.40000000002</v>
      </c>
      <c r="N41" s="98">
        <f t="shared" si="11"/>
        <v>9351159.4799999986</v>
      </c>
      <c r="O41" s="59">
        <v>5465</v>
      </c>
      <c r="P41" s="99" t="s">
        <v>70</v>
      </c>
      <c r="Q41" s="98">
        <f t="shared" si="12"/>
        <v>1711.0996303751142</v>
      </c>
      <c r="R41" s="199">
        <f t="shared" si="8"/>
        <v>-20.15538741528356</v>
      </c>
      <c r="S41" s="164">
        <f t="shared" si="8"/>
        <v>109.54754601226993</v>
      </c>
      <c r="T41" s="356">
        <f t="shared" si="7"/>
        <v>-61.896660636607407</v>
      </c>
      <c r="U41" s="140"/>
      <c r="V41" s="101"/>
    </row>
    <row r="42" spans="1:22" s="100" customFormat="1">
      <c r="A42" s="58" t="s">
        <v>213</v>
      </c>
      <c r="B42" s="98">
        <v>6665952.0899999999</v>
      </c>
      <c r="C42" s="98">
        <v>0</v>
      </c>
      <c r="D42" s="98">
        <v>272680.59000000003</v>
      </c>
      <c r="E42" s="98">
        <v>329096.74</v>
      </c>
      <c r="F42" s="103">
        <f t="shared" si="9"/>
        <v>7267729.4199999999</v>
      </c>
      <c r="G42" s="59">
        <v>943</v>
      </c>
      <c r="H42" s="99" t="s">
        <v>69</v>
      </c>
      <c r="I42" s="98">
        <f t="shared" si="10"/>
        <v>7707.0301378579006</v>
      </c>
      <c r="J42" s="98">
        <v>5212282.6100000003</v>
      </c>
      <c r="K42" s="98">
        <v>97800.24</v>
      </c>
      <c r="L42" s="98">
        <v>234928.03</v>
      </c>
      <c r="M42" s="98">
        <v>282393.42</v>
      </c>
      <c r="N42" s="98">
        <f t="shared" si="11"/>
        <v>5827404.3000000007</v>
      </c>
      <c r="O42" s="59">
        <v>812</v>
      </c>
      <c r="P42" s="99" t="s">
        <v>69</v>
      </c>
      <c r="Q42" s="98">
        <f t="shared" si="12"/>
        <v>7176.6062807881781</v>
      </c>
      <c r="R42" s="199">
        <f t="shared" si="8"/>
        <v>-19.818089485230164</v>
      </c>
      <c r="S42" s="199">
        <f t="shared" si="8"/>
        <v>-13.891834570519618</v>
      </c>
      <c r="T42" s="356">
        <f t="shared" si="7"/>
        <v>-6.8823379120345454</v>
      </c>
      <c r="U42" s="140"/>
      <c r="V42" s="101"/>
    </row>
    <row r="43" spans="1:22" s="100" customFormat="1">
      <c r="A43" s="58" t="s">
        <v>214</v>
      </c>
      <c r="B43" s="98">
        <v>19740465.699999999</v>
      </c>
      <c r="C43" s="98">
        <v>25150.69</v>
      </c>
      <c r="D43" s="98">
        <v>684821.8</v>
      </c>
      <c r="E43" s="98">
        <v>1554863.6</v>
      </c>
      <c r="F43" s="103">
        <f t="shared" si="9"/>
        <v>22005301.790000003</v>
      </c>
      <c r="G43" s="59">
        <v>1</v>
      </c>
      <c r="H43" s="99" t="s">
        <v>10</v>
      </c>
      <c r="I43" s="98">
        <f t="shared" si="10"/>
        <v>22005301.790000003</v>
      </c>
      <c r="J43" s="98">
        <v>10078984.01</v>
      </c>
      <c r="K43" s="98">
        <v>0</v>
      </c>
      <c r="L43" s="98">
        <v>501863.39</v>
      </c>
      <c r="M43" s="98">
        <v>3180073.37</v>
      </c>
      <c r="N43" s="98">
        <f t="shared" si="11"/>
        <v>13760920.77</v>
      </c>
      <c r="O43" s="59">
        <v>1</v>
      </c>
      <c r="P43" s="99" t="s">
        <v>10</v>
      </c>
      <c r="Q43" s="98">
        <f t="shared" si="12"/>
        <v>13760920.77</v>
      </c>
      <c r="R43" s="199">
        <f t="shared" si="8"/>
        <v>-37.465430370723411</v>
      </c>
      <c r="S43" s="164">
        <f t="shared" si="8"/>
        <v>0</v>
      </c>
      <c r="T43" s="356">
        <f t="shared" si="7"/>
        <v>-37.465430370723411</v>
      </c>
      <c r="U43" s="140"/>
      <c r="V43" s="101"/>
    </row>
    <row r="44" spans="1:22" s="100" customFormat="1">
      <c r="A44" s="57" t="s">
        <v>215</v>
      </c>
      <c r="B44" s="98">
        <v>19668647.059999999</v>
      </c>
      <c r="C44" s="98">
        <v>6164.9</v>
      </c>
      <c r="D44" s="98">
        <v>14197798.32</v>
      </c>
      <c r="E44" s="98">
        <v>617961.71</v>
      </c>
      <c r="F44" s="103">
        <f t="shared" si="9"/>
        <v>34490571.990000002</v>
      </c>
      <c r="G44" s="59">
        <v>15</v>
      </c>
      <c r="H44" s="99" t="s">
        <v>71</v>
      </c>
      <c r="I44" s="98">
        <f t="shared" si="10"/>
        <v>2299371.466</v>
      </c>
      <c r="J44" s="98">
        <v>30629535.600000001</v>
      </c>
      <c r="K44" s="98">
        <v>441778.72</v>
      </c>
      <c r="L44" s="98">
        <v>1211864.44</v>
      </c>
      <c r="M44" s="98">
        <v>422290.41</v>
      </c>
      <c r="N44" s="98">
        <f t="shared" si="11"/>
        <v>32705469.170000002</v>
      </c>
      <c r="O44" s="59">
        <v>23</v>
      </c>
      <c r="P44" s="99" t="s">
        <v>71</v>
      </c>
      <c r="Q44" s="98">
        <f t="shared" si="12"/>
        <v>1421976.9204347827</v>
      </c>
      <c r="R44" s="199">
        <f t="shared" si="8"/>
        <v>-5.1756254448826269</v>
      </c>
      <c r="S44" s="164">
        <f t="shared" si="8"/>
        <v>53.333333333333336</v>
      </c>
      <c r="T44" s="356">
        <f t="shared" si="7"/>
        <v>-38.158016594488664</v>
      </c>
      <c r="U44" s="140"/>
      <c r="V44" s="101"/>
    </row>
    <row r="45" spans="1:22" s="100" customFormat="1">
      <c r="A45" s="56" t="s">
        <v>216</v>
      </c>
      <c r="B45" s="98">
        <v>7263306.2699999996</v>
      </c>
      <c r="C45" s="98">
        <v>0</v>
      </c>
      <c r="D45" s="98">
        <v>138384.75</v>
      </c>
      <c r="E45" s="98">
        <v>149186.76</v>
      </c>
      <c r="F45" s="103">
        <f t="shared" si="9"/>
        <v>7550877.7799999993</v>
      </c>
      <c r="G45" s="59">
        <v>200</v>
      </c>
      <c r="H45" s="99" t="s">
        <v>68</v>
      </c>
      <c r="I45" s="98">
        <f>SUM(F45/G45)</f>
        <v>37754.388899999998</v>
      </c>
      <c r="J45" s="98">
        <v>8469152.7300000004</v>
      </c>
      <c r="K45" s="98">
        <v>0</v>
      </c>
      <c r="L45" s="98">
        <v>170187.59</v>
      </c>
      <c r="M45" s="98">
        <v>131522.75</v>
      </c>
      <c r="N45" s="98">
        <f t="shared" ref="N45" si="13">SUM(J45:M45)</f>
        <v>8770863.0700000003</v>
      </c>
      <c r="O45" s="59">
        <v>200</v>
      </c>
      <c r="P45" s="99" t="s">
        <v>68</v>
      </c>
      <c r="Q45" s="98">
        <f t="shared" ref="Q45" si="14">SUM(N45/O45)</f>
        <v>43854.315350000004</v>
      </c>
      <c r="R45" s="165">
        <f t="shared" si="8"/>
        <v>16.156867129161782</v>
      </c>
      <c r="S45" s="164">
        <f t="shared" si="8"/>
        <v>0</v>
      </c>
      <c r="T45" s="459">
        <f t="shared" si="7"/>
        <v>16.156867129161785</v>
      </c>
      <c r="U45" s="140"/>
      <c r="V45" s="101"/>
    </row>
    <row r="46" spans="1:22" s="100" customFormat="1">
      <c r="A46" s="57" t="s">
        <v>267</v>
      </c>
      <c r="B46" s="98">
        <v>5447479.7000000002</v>
      </c>
      <c r="C46" s="98">
        <v>0</v>
      </c>
      <c r="D46" s="98">
        <v>103788.56</v>
      </c>
      <c r="E46" s="98">
        <v>111890.07</v>
      </c>
      <c r="F46" s="103">
        <f t="shared" si="9"/>
        <v>5663158.3300000001</v>
      </c>
      <c r="G46" s="59">
        <v>20</v>
      </c>
      <c r="H46" s="99" t="s">
        <v>108</v>
      </c>
      <c r="I46" s="98">
        <f>SUM(F46/G46)</f>
        <v>283157.91649999999</v>
      </c>
      <c r="J46" s="98">
        <v>10008998.689999999</v>
      </c>
      <c r="K46" s="98">
        <v>0</v>
      </c>
      <c r="L46" s="98">
        <v>201130.79</v>
      </c>
      <c r="M46" s="98">
        <v>155435.97</v>
      </c>
      <c r="N46" s="98">
        <f t="shared" ref="N46" si="15">SUM(J46:M46)</f>
        <v>10365565.449999999</v>
      </c>
      <c r="O46" s="59">
        <v>20</v>
      </c>
      <c r="P46" s="99" t="s">
        <v>108</v>
      </c>
      <c r="Q46" s="98">
        <f>SUM(N46/O46)</f>
        <v>518278.27249999996</v>
      </c>
      <c r="R46" s="165">
        <f t="shared" si="8"/>
        <v>83.035063580855237</v>
      </c>
      <c r="S46" s="164">
        <f t="shared" si="8"/>
        <v>0</v>
      </c>
      <c r="T46" s="459">
        <f t="shared" si="7"/>
        <v>83.035063580855237</v>
      </c>
      <c r="U46" s="140"/>
      <c r="V46" s="101"/>
    </row>
    <row r="47" spans="1:22">
      <c r="A47" s="57" t="s">
        <v>283</v>
      </c>
      <c r="B47" s="98">
        <v>48422041.82</v>
      </c>
      <c r="C47" s="98">
        <v>66790.460000000006</v>
      </c>
      <c r="D47" s="98">
        <v>922564.99</v>
      </c>
      <c r="E47" s="98">
        <v>994578.36</v>
      </c>
      <c r="F47" s="103">
        <f t="shared" si="9"/>
        <v>50405975.630000003</v>
      </c>
      <c r="G47" s="59">
        <v>45</v>
      </c>
      <c r="H47" s="59" t="s">
        <v>108</v>
      </c>
      <c r="I47" s="98">
        <f>SUM(F47/G47)</f>
        <v>1120132.791777778</v>
      </c>
      <c r="J47" s="98">
        <v>49960825.840000004</v>
      </c>
      <c r="K47" s="98">
        <v>3548734.79</v>
      </c>
      <c r="L47" s="98">
        <v>1050531.28</v>
      </c>
      <c r="M47" s="98">
        <v>814814.94</v>
      </c>
      <c r="N47" s="98">
        <f t="shared" ref="N47:N50" si="16">SUM(J47:M47)</f>
        <v>55374906.850000001</v>
      </c>
      <c r="O47" s="59">
        <v>60</v>
      </c>
      <c r="P47" s="99" t="s">
        <v>108</v>
      </c>
      <c r="Q47" s="98">
        <f>SUM(N47/O47)</f>
        <v>922915.11416666664</v>
      </c>
      <c r="R47" s="165">
        <f t="shared" si="8"/>
        <v>9.8578217322365482</v>
      </c>
      <c r="S47" s="164">
        <f t="shared" si="8"/>
        <v>33.333333333333336</v>
      </c>
      <c r="T47" s="356">
        <f t="shared" si="7"/>
        <v>-17.606633700822602</v>
      </c>
    </row>
    <row r="48" spans="1:22" s="100" customFormat="1">
      <c r="A48" s="57" t="s">
        <v>268</v>
      </c>
      <c r="B48" s="98">
        <v>24816296.43</v>
      </c>
      <c r="C48" s="98">
        <v>0</v>
      </c>
      <c r="D48" s="98">
        <v>472814.56</v>
      </c>
      <c r="E48" s="98">
        <v>509721.42</v>
      </c>
      <c r="F48" s="103">
        <f t="shared" si="9"/>
        <v>25798832.41</v>
      </c>
      <c r="G48" s="59">
        <v>48</v>
      </c>
      <c r="H48" s="99" t="s">
        <v>108</v>
      </c>
      <c r="I48" s="98">
        <f>+F48/G48</f>
        <v>537475.6752083333</v>
      </c>
      <c r="J48" s="98">
        <v>45256680.270000003</v>
      </c>
      <c r="K48" s="98">
        <v>0</v>
      </c>
      <c r="L48" s="98">
        <v>957701.67</v>
      </c>
      <c r="M48" s="98">
        <v>725762.86</v>
      </c>
      <c r="N48" s="98">
        <f t="shared" si="16"/>
        <v>46940144.800000004</v>
      </c>
      <c r="O48" s="59">
        <v>56</v>
      </c>
      <c r="P48" s="99" t="s">
        <v>108</v>
      </c>
      <c r="Q48" s="98">
        <f t="shared" ref="Q48:Q70" si="17">SUM(N48/O48)</f>
        <v>838216.87142857153</v>
      </c>
      <c r="R48" s="165">
        <f t="shared" si="8"/>
        <v>81.946779815528885</v>
      </c>
      <c r="S48" s="164">
        <f t="shared" si="8"/>
        <v>16.666666666666668</v>
      </c>
      <c r="T48" s="459">
        <f t="shared" si="7"/>
        <v>55.954382699024769</v>
      </c>
      <c r="U48" s="140"/>
      <c r="V48" s="101"/>
    </row>
    <row r="49" spans="1:22" s="100" customFormat="1">
      <c r="A49" s="397" t="s">
        <v>269</v>
      </c>
      <c r="B49" s="98">
        <v>26026847.48</v>
      </c>
      <c r="C49" s="98">
        <v>0</v>
      </c>
      <c r="D49" s="98">
        <v>495878.68</v>
      </c>
      <c r="E49" s="98">
        <v>534585.88</v>
      </c>
      <c r="F49" s="103">
        <f t="shared" si="9"/>
        <v>27057312.039999999</v>
      </c>
      <c r="G49" s="59">
        <v>14250</v>
      </c>
      <c r="H49" s="99" t="s">
        <v>68</v>
      </c>
      <c r="I49" s="98">
        <f>+F49/G49</f>
        <v>1898.7587396491228</v>
      </c>
      <c r="J49" s="98">
        <v>34646533.909999996</v>
      </c>
      <c r="K49" s="98">
        <v>0</v>
      </c>
      <c r="L49" s="98">
        <v>696221.96</v>
      </c>
      <c r="M49" s="98">
        <v>538047.59</v>
      </c>
      <c r="N49" s="98">
        <f t="shared" si="16"/>
        <v>35880803.460000001</v>
      </c>
      <c r="O49" s="59">
        <v>14250</v>
      </c>
      <c r="P49" s="99" t="s">
        <v>68</v>
      </c>
      <c r="Q49" s="98">
        <f t="shared" si="17"/>
        <v>2517.9511200000002</v>
      </c>
      <c r="R49" s="165">
        <f t="shared" si="8"/>
        <v>32.610376843626788</v>
      </c>
      <c r="S49" s="164">
        <f t="shared" si="8"/>
        <v>0</v>
      </c>
      <c r="T49" s="459">
        <f t="shared" si="7"/>
        <v>32.610376843626788</v>
      </c>
      <c r="U49" s="140"/>
      <c r="V49" s="101"/>
    </row>
    <row r="50" spans="1:22" s="100" customFormat="1">
      <c r="A50" s="397" t="s">
        <v>302</v>
      </c>
      <c r="B50" s="98">
        <v>9079132.8399999999</v>
      </c>
      <c r="C50" s="98">
        <v>0</v>
      </c>
      <c r="D50" s="98">
        <v>172980.94</v>
      </c>
      <c r="E50" s="98">
        <v>186483.45</v>
      </c>
      <c r="F50" s="103">
        <f t="shared" si="9"/>
        <v>9438597.2299999986</v>
      </c>
      <c r="G50" s="59">
        <v>600</v>
      </c>
      <c r="H50" s="99" t="s">
        <v>68</v>
      </c>
      <c r="I50" s="98">
        <f>+F50/G50</f>
        <v>15730.995383333331</v>
      </c>
      <c r="J50" s="98">
        <v>9840223.4000000004</v>
      </c>
      <c r="K50" s="98">
        <v>0</v>
      </c>
      <c r="L50" s="98">
        <v>246008.12</v>
      </c>
      <c r="M50" s="98">
        <v>175758.66</v>
      </c>
      <c r="N50" s="98">
        <f t="shared" si="16"/>
        <v>10261990.18</v>
      </c>
      <c r="O50" s="59">
        <v>540</v>
      </c>
      <c r="P50" s="99" t="s">
        <v>108</v>
      </c>
      <c r="Q50" s="98">
        <f t="shared" si="17"/>
        <v>19003.68551851852</v>
      </c>
      <c r="R50" s="165">
        <f t="shared" si="8"/>
        <v>8.7236792707172377</v>
      </c>
      <c r="S50" s="199">
        <f t="shared" si="8"/>
        <v>-10</v>
      </c>
      <c r="T50" s="459">
        <f t="shared" si="7"/>
        <v>20.804088078574715</v>
      </c>
      <c r="U50" s="140"/>
      <c r="V50" s="101"/>
    </row>
    <row r="51" spans="1:22" s="100" customFormat="1">
      <c r="A51" s="418" t="s">
        <v>479</v>
      </c>
      <c r="B51" s="98">
        <v>14033615.119999999</v>
      </c>
      <c r="C51" s="98">
        <v>75405.67</v>
      </c>
      <c r="D51" s="98">
        <v>608773.52</v>
      </c>
      <c r="E51" s="98">
        <v>435758.58</v>
      </c>
      <c r="F51" s="103">
        <f t="shared" si="9"/>
        <v>15153552.889999999</v>
      </c>
      <c r="G51" s="59">
        <v>104</v>
      </c>
      <c r="H51" s="99" t="s">
        <v>72</v>
      </c>
      <c r="I51" s="98">
        <f t="shared" ref="I51:I72" si="18">SUM(F51/G51)</f>
        <v>145707.23932692307</v>
      </c>
      <c r="J51" s="98">
        <v>14398785.859999999</v>
      </c>
      <c r="K51" s="98">
        <v>61552.4</v>
      </c>
      <c r="L51" s="98">
        <v>743976.63</v>
      </c>
      <c r="M51" s="98">
        <v>403482.89</v>
      </c>
      <c r="N51" s="98">
        <f t="shared" ref="N51:N70" si="19">SUM(J51:M51)</f>
        <v>15607797.780000001</v>
      </c>
      <c r="O51" s="59">
        <v>111</v>
      </c>
      <c r="P51" s="99" t="s">
        <v>72</v>
      </c>
      <c r="Q51" s="98">
        <f t="shared" si="17"/>
        <v>140610.79081081081</v>
      </c>
      <c r="R51" s="165">
        <f t="shared" si="8"/>
        <v>2.9976131227928984</v>
      </c>
      <c r="S51" s="164">
        <f t="shared" si="8"/>
        <v>6.7307692307692308</v>
      </c>
      <c r="T51" s="356">
        <f t="shared" si="7"/>
        <v>-3.4977318489147717</v>
      </c>
      <c r="U51" s="140"/>
      <c r="V51" s="101"/>
    </row>
    <row r="52" spans="1:22" s="100" customFormat="1">
      <c r="A52" s="56" t="s">
        <v>480</v>
      </c>
      <c r="B52" s="98">
        <v>0</v>
      </c>
      <c r="C52" s="98">
        <v>0</v>
      </c>
      <c r="D52" s="98">
        <v>0</v>
      </c>
      <c r="E52" s="98">
        <v>0</v>
      </c>
      <c r="F52" s="103">
        <f t="shared" si="9"/>
        <v>0</v>
      </c>
      <c r="G52" s="59">
        <v>0</v>
      </c>
      <c r="H52" s="99" t="s">
        <v>303</v>
      </c>
      <c r="I52" s="98">
        <v>0</v>
      </c>
      <c r="J52" s="98">
        <v>0</v>
      </c>
      <c r="K52" s="98">
        <v>0</v>
      </c>
      <c r="L52" s="98">
        <v>0</v>
      </c>
      <c r="M52" s="98">
        <v>0</v>
      </c>
      <c r="N52" s="98">
        <v>0</v>
      </c>
      <c r="O52" s="59">
        <v>0</v>
      </c>
      <c r="P52" s="99" t="s">
        <v>303</v>
      </c>
      <c r="Q52" s="98">
        <v>0</v>
      </c>
      <c r="R52" s="165" t="s">
        <v>303</v>
      </c>
      <c r="S52" s="164" t="s">
        <v>303</v>
      </c>
      <c r="T52" s="459" t="s">
        <v>303</v>
      </c>
      <c r="U52" s="140"/>
      <c r="V52" s="101"/>
    </row>
    <row r="53" spans="1:22" s="100" customFormat="1">
      <c r="A53" s="56" t="s">
        <v>502</v>
      </c>
      <c r="B53" s="98">
        <v>5613446.0499999998</v>
      </c>
      <c r="C53" s="98">
        <v>30162.27</v>
      </c>
      <c r="D53" s="98">
        <v>243509.41</v>
      </c>
      <c r="E53" s="98">
        <v>174303.43</v>
      </c>
      <c r="F53" s="103">
        <f t="shared" si="9"/>
        <v>6061421.1599999992</v>
      </c>
      <c r="G53" s="59">
        <v>16</v>
      </c>
      <c r="H53" s="99" t="s">
        <v>70</v>
      </c>
      <c r="I53" s="98">
        <f t="shared" si="18"/>
        <v>378838.82249999995</v>
      </c>
      <c r="J53" s="98">
        <v>0</v>
      </c>
      <c r="K53" s="98">
        <v>0</v>
      </c>
      <c r="L53" s="98">
        <v>0</v>
      </c>
      <c r="M53" s="98">
        <v>0</v>
      </c>
      <c r="N53" s="98">
        <v>0</v>
      </c>
      <c r="O53" s="59">
        <v>0</v>
      </c>
      <c r="P53" s="99" t="s">
        <v>303</v>
      </c>
      <c r="Q53" s="98">
        <v>0</v>
      </c>
      <c r="R53" s="199">
        <f t="shared" si="8"/>
        <v>-100</v>
      </c>
      <c r="S53" s="199">
        <f t="shared" si="8"/>
        <v>-100</v>
      </c>
      <c r="T53" s="356">
        <f t="shared" si="7"/>
        <v>-100</v>
      </c>
      <c r="U53" s="140"/>
      <c r="V53" s="101"/>
    </row>
    <row r="54" spans="1:22" s="100" customFormat="1">
      <c r="A54" s="56" t="s">
        <v>482</v>
      </c>
      <c r="B54" s="98">
        <v>22453784.190000001</v>
      </c>
      <c r="C54" s="98">
        <v>120649.08</v>
      </c>
      <c r="D54" s="98">
        <v>974037.62</v>
      </c>
      <c r="E54" s="98">
        <v>697213.72</v>
      </c>
      <c r="F54" s="103">
        <f t="shared" si="9"/>
        <v>24245684.609999999</v>
      </c>
      <c r="G54" s="59">
        <v>652</v>
      </c>
      <c r="H54" s="99" t="s">
        <v>68</v>
      </c>
      <c r="I54" s="98">
        <f t="shared" si="18"/>
        <v>37186.632837423313</v>
      </c>
      <c r="J54" s="98">
        <v>8639271.5199999996</v>
      </c>
      <c r="K54" s="98">
        <v>36931.440000000002</v>
      </c>
      <c r="L54" s="98">
        <v>446385.98</v>
      </c>
      <c r="M54" s="98">
        <v>242089.73</v>
      </c>
      <c r="N54" s="98">
        <f t="shared" si="19"/>
        <v>9364678.6699999999</v>
      </c>
      <c r="O54" s="59">
        <v>685</v>
      </c>
      <c r="P54" s="99" t="s">
        <v>68</v>
      </c>
      <c r="Q54" s="98">
        <f t="shared" si="17"/>
        <v>13671.063751824817</v>
      </c>
      <c r="R54" s="199">
        <f t="shared" si="8"/>
        <v>-61.375895048401361</v>
      </c>
      <c r="S54" s="164">
        <f t="shared" si="8"/>
        <v>5.0613496932515334</v>
      </c>
      <c r="T54" s="356">
        <f t="shared" si="7"/>
        <v>-63.236618352638956</v>
      </c>
      <c r="U54" s="140"/>
      <c r="V54" s="101"/>
    </row>
    <row r="55" spans="1:22" s="100" customFormat="1">
      <c r="A55" s="58" t="s">
        <v>483</v>
      </c>
      <c r="B55" s="98">
        <v>4490756.84</v>
      </c>
      <c r="C55" s="98">
        <v>24129.82</v>
      </c>
      <c r="D55" s="98">
        <v>194807.52</v>
      </c>
      <c r="E55" s="98">
        <v>139442.74</v>
      </c>
      <c r="F55" s="103">
        <f t="shared" si="9"/>
        <v>4849136.92</v>
      </c>
      <c r="G55" s="59">
        <v>1</v>
      </c>
      <c r="H55" s="99" t="s">
        <v>71</v>
      </c>
      <c r="I55" s="98">
        <f t="shared" si="18"/>
        <v>4849136.92</v>
      </c>
      <c r="J55" s="98">
        <v>5759514.3499999996</v>
      </c>
      <c r="K55" s="98">
        <v>24620.959999999999</v>
      </c>
      <c r="L55" s="98">
        <v>297590.65000000002</v>
      </c>
      <c r="M55" s="98">
        <v>161393.15</v>
      </c>
      <c r="N55" s="98">
        <f t="shared" si="19"/>
        <v>6243119.1100000003</v>
      </c>
      <c r="O55" s="59">
        <v>1</v>
      </c>
      <c r="P55" s="99" t="s">
        <v>71</v>
      </c>
      <c r="Q55" s="98">
        <f t="shared" si="17"/>
        <v>6243119.1100000003</v>
      </c>
      <c r="R55" s="165">
        <f t="shared" si="8"/>
        <v>28.747016489689063</v>
      </c>
      <c r="S55" s="164">
        <f t="shared" si="8"/>
        <v>0</v>
      </c>
      <c r="T55" s="459">
        <f t="shared" si="7"/>
        <v>28.747016489689063</v>
      </c>
      <c r="U55" s="140"/>
      <c r="V55" s="101"/>
    </row>
    <row r="56" spans="1:22" s="100" customFormat="1">
      <c r="A56" s="58" t="s">
        <v>484</v>
      </c>
      <c r="B56" s="98">
        <v>2806723.02</v>
      </c>
      <c r="C56" s="98">
        <v>15081.13</v>
      </c>
      <c r="D56" s="98">
        <v>121754.7</v>
      </c>
      <c r="E56" s="98">
        <v>87151.72</v>
      </c>
      <c r="F56" s="103">
        <f t="shared" si="9"/>
        <v>3030710.5700000003</v>
      </c>
      <c r="G56" s="59">
        <v>21</v>
      </c>
      <c r="H56" s="99" t="s">
        <v>69</v>
      </c>
      <c r="I56" s="98">
        <f t="shared" si="18"/>
        <v>144319.55095238096</v>
      </c>
      <c r="J56" s="103">
        <v>8639271.5199999996</v>
      </c>
      <c r="K56" s="103">
        <v>36931.440000000002</v>
      </c>
      <c r="L56" s="103">
        <v>446385.98</v>
      </c>
      <c r="M56" s="103">
        <v>242089.73</v>
      </c>
      <c r="N56" s="103">
        <f t="shared" si="19"/>
        <v>9364678.6699999999</v>
      </c>
      <c r="O56" s="104">
        <v>21</v>
      </c>
      <c r="P56" s="105" t="s">
        <v>69</v>
      </c>
      <c r="Q56" s="103">
        <f t="shared" si="17"/>
        <v>445937.07952380955</v>
      </c>
      <c r="R56" s="165">
        <f t="shared" si="8"/>
        <v>208.99284025000117</v>
      </c>
      <c r="S56" s="164">
        <f t="shared" si="8"/>
        <v>0</v>
      </c>
      <c r="T56" s="459">
        <f t="shared" si="7"/>
        <v>208.99284025000119</v>
      </c>
      <c r="U56" s="140"/>
      <c r="V56" s="101"/>
    </row>
    <row r="57" spans="1:22" s="100" customFormat="1">
      <c r="A57" s="58" t="s">
        <v>485</v>
      </c>
      <c r="B57" s="98">
        <v>5613446.0499999998</v>
      </c>
      <c r="C57" s="98">
        <v>30162.27</v>
      </c>
      <c r="D57" s="98">
        <v>243509.41</v>
      </c>
      <c r="E57" s="98">
        <v>174303.43</v>
      </c>
      <c r="F57" s="103">
        <f t="shared" si="9"/>
        <v>6061421.1599999992</v>
      </c>
      <c r="G57" s="59">
        <v>11</v>
      </c>
      <c r="H57" s="99" t="s">
        <v>69</v>
      </c>
      <c r="I57" s="98">
        <f t="shared" si="18"/>
        <v>551038.28727272723</v>
      </c>
      <c r="J57" s="98">
        <v>8639271.5199999996</v>
      </c>
      <c r="K57" s="98">
        <v>36931.440000000002</v>
      </c>
      <c r="L57" s="98">
        <v>446385.98</v>
      </c>
      <c r="M57" s="98">
        <v>242089.73</v>
      </c>
      <c r="N57" s="98">
        <f t="shared" si="19"/>
        <v>9364678.6699999999</v>
      </c>
      <c r="O57" s="59">
        <v>23</v>
      </c>
      <c r="P57" s="99" t="s">
        <v>69</v>
      </c>
      <c r="Q57" s="98">
        <f t="shared" si="17"/>
        <v>407159.94217391306</v>
      </c>
      <c r="R57" s="165">
        <f t="shared" si="8"/>
        <v>54.496419615230977</v>
      </c>
      <c r="S57" s="164">
        <f t="shared" si="8"/>
        <v>109.09090909090909</v>
      </c>
      <c r="T57" s="356">
        <f t="shared" si="7"/>
        <v>-26.110408010106923</v>
      </c>
      <c r="U57" s="140"/>
      <c r="V57" s="101"/>
    </row>
    <row r="58" spans="1:22" s="100" customFormat="1">
      <c r="A58" s="58" t="s">
        <v>503</v>
      </c>
      <c r="B58" s="98">
        <v>0</v>
      </c>
      <c r="C58" s="98">
        <v>0</v>
      </c>
      <c r="D58" s="98">
        <v>0</v>
      </c>
      <c r="E58" s="98">
        <v>0</v>
      </c>
      <c r="F58" s="103">
        <v>0</v>
      </c>
      <c r="G58" s="59">
        <v>0</v>
      </c>
      <c r="H58" s="99" t="s">
        <v>303</v>
      </c>
      <c r="I58" s="98">
        <v>0</v>
      </c>
      <c r="J58" s="98">
        <v>5759514.3499999996</v>
      </c>
      <c r="K58" s="98">
        <v>24620.959999999999</v>
      </c>
      <c r="L58" s="98">
        <v>297590.64</v>
      </c>
      <c r="M58" s="98">
        <v>161393.15</v>
      </c>
      <c r="N58" s="98">
        <f t="shared" si="19"/>
        <v>6243119.0999999996</v>
      </c>
      <c r="O58" s="59">
        <v>9</v>
      </c>
      <c r="P58" s="99" t="s">
        <v>282</v>
      </c>
      <c r="Q58" s="98">
        <f t="shared" si="17"/>
        <v>693679.89999999991</v>
      </c>
      <c r="R58" s="165">
        <v>100</v>
      </c>
      <c r="S58" s="164">
        <v>100</v>
      </c>
      <c r="T58" s="459">
        <v>100</v>
      </c>
      <c r="U58" s="140"/>
      <c r="V58" s="101"/>
    </row>
    <row r="59" spans="1:22" s="100" customFormat="1">
      <c r="A59" s="58" t="s">
        <v>504</v>
      </c>
      <c r="B59" s="98">
        <v>0</v>
      </c>
      <c r="C59" s="98">
        <v>0</v>
      </c>
      <c r="D59" s="98">
        <v>0</v>
      </c>
      <c r="E59" s="98">
        <v>0</v>
      </c>
      <c r="F59" s="103">
        <v>0</v>
      </c>
      <c r="G59" s="59">
        <v>0</v>
      </c>
      <c r="H59" s="99" t="s">
        <v>303</v>
      </c>
      <c r="I59" s="98">
        <v>0</v>
      </c>
      <c r="J59" s="293">
        <v>5759514.3499999996</v>
      </c>
      <c r="K59" s="98">
        <v>24620.959999999999</v>
      </c>
      <c r="L59" s="98">
        <v>297590.64</v>
      </c>
      <c r="M59" s="98">
        <v>161393.15</v>
      </c>
      <c r="N59" s="98">
        <f t="shared" si="19"/>
        <v>6243119.0999999996</v>
      </c>
      <c r="O59" s="59">
        <v>27</v>
      </c>
      <c r="P59" s="99" t="s">
        <v>108</v>
      </c>
      <c r="Q59" s="98">
        <f t="shared" si="17"/>
        <v>231226.63333333333</v>
      </c>
      <c r="R59" s="165">
        <v>100</v>
      </c>
      <c r="S59" s="164">
        <v>100</v>
      </c>
      <c r="T59" s="459">
        <v>100</v>
      </c>
      <c r="U59" s="140"/>
      <c r="V59" s="101"/>
    </row>
    <row r="60" spans="1:22" s="100" customFormat="1">
      <c r="A60" s="58" t="s">
        <v>505</v>
      </c>
      <c r="B60" s="98">
        <v>7656681.0499999998</v>
      </c>
      <c r="C60" s="98">
        <v>33758.93</v>
      </c>
      <c r="D60" s="98">
        <v>654880.67000000004</v>
      </c>
      <c r="E60" s="98">
        <v>501026.13</v>
      </c>
      <c r="F60" s="103">
        <f t="shared" si="9"/>
        <v>8846346.7799999993</v>
      </c>
      <c r="G60" s="59">
        <v>195998</v>
      </c>
      <c r="H60" s="99" t="s">
        <v>73</v>
      </c>
      <c r="I60" s="98">
        <f t="shared" si="18"/>
        <v>45.134882906968436</v>
      </c>
      <c r="J60" s="500">
        <f>16527168.22*60/100</f>
        <v>9916300.932</v>
      </c>
      <c r="K60" s="98">
        <f>175055.38*60/100</f>
        <v>105033.228</v>
      </c>
      <c r="L60" s="98">
        <f>1443771.65*60/100</f>
        <v>866262.99</v>
      </c>
      <c r="M60" s="98">
        <f>1117399.47*60/100</f>
        <v>670439.68199999991</v>
      </c>
      <c r="N60" s="98">
        <f t="shared" si="19"/>
        <v>11558036.832</v>
      </c>
      <c r="O60" s="59">
        <v>222981</v>
      </c>
      <c r="P60" s="99" t="s">
        <v>73</v>
      </c>
      <c r="Q60" s="98">
        <f t="shared" si="17"/>
        <v>51.834177943412222</v>
      </c>
      <c r="R60" s="165">
        <f t="shared" si="8"/>
        <v>30.65321900030694</v>
      </c>
      <c r="S60" s="164">
        <f t="shared" si="8"/>
        <v>13.766977214053204</v>
      </c>
      <c r="T60" s="459">
        <f t="shared" si="7"/>
        <v>14.842832427974402</v>
      </c>
      <c r="U60" s="140"/>
      <c r="V60" s="101"/>
    </row>
    <row r="61" spans="1:22" s="100" customFormat="1">
      <c r="A61" s="57" t="s">
        <v>506</v>
      </c>
      <c r="B61" s="98">
        <v>6264557.2199999997</v>
      </c>
      <c r="C61" s="98">
        <v>27620.94</v>
      </c>
      <c r="D61" s="98">
        <v>535811.46</v>
      </c>
      <c r="E61" s="98">
        <v>409930.47</v>
      </c>
      <c r="F61" s="103">
        <f t="shared" si="9"/>
        <v>7237920.0899999999</v>
      </c>
      <c r="G61" s="59">
        <v>722</v>
      </c>
      <c r="H61" s="397" t="s">
        <v>89</v>
      </c>
      <c r="I61" s="98">
        <f t="shared" si="18"/>
        <v>10024.820069252077</v>
      </c>
      <c r="J61" s="103">
        <f>16527168.22*40/100</f>
        <v>6610867.2880000006</v>
      </c>
      <c r="K61" s="98">
        <f>175055.38*40/100</f>
        <v>70022.152000000002</v>
      </c>
      <c r="L61" s="98">
        <f>1443771.65*40/100</f>
        <v>577508.66</v>
      </c>
      <c r="M61" s="98">
        <f>1117399.47*40/100</f>
        <v>446959.78799999994</v>
      </c>
      <c r="N61" s="98">
        <f t="shared" si="19"/>
        <v>7705357.8880000003</v>
      </c>
      <c r="O61" s="59">
        <v>875</v>
      </c>
      <c r="P61" s="106" t="s">
        <v>89</v>
      </c>
      <c r="Q61" s="98">
        <f t="shared" si="17"/>
        <v>8806.1233005714294</v>
      </c>
      <c r="R61" s="165">
        <f t="shared" si="8"/>
        <v>6.4581784848083394</v>
      </c>
      <c r="S61" s="164">
        <f t="shared" si="8"/>
        <v>21.191135734072024</v>
      </c>
      <c r="T61" s="356">
        <f t="shared" si="7"/>
        <v>-12.156794438820993</v>
      </c>
      <c r="U61" s="140"/>
      <c r="V61" s="101"/>
    </row>
    <row r="62" spans="1:22" s="100" customFormat="1">
      <c r="A62" s="102" t="s">
        <v>507</v>
      </c>
      <c r="B62" s="103">
        <v>7796409.5899999999</v>
      </c>
      <c r="C62" s="103">
        <v>149938.76</v>
      </c>
      <c r="D62" s="103">
        <v>427653.49</v>
      </c>
      <c r="E62" s="103">
        <v>228353.76</v>
      </c>
      <c r="F62" s="103">
        <f t="shared" si="9"/>
        <v>8602355.5999999996</v>
      </c>
      <c r="G62" s="104">
        <v>2621</v>
      </c>
      <c r="H62" s="105" t="s">
        <v>74</v>
      </c>
      <c r="I62" s="103">
        <f t="shared" si="18"/>
        <v>3282.0891262876762</v>
      </c>
      <c r="J62" s="98">
        <v>8527421.0700000003</v>
      </c>
      <c r="K62" s="98">
        <v>112860.25</v>
      </c>
      <c r="L62" s="98">
        <v>470593.75</v>
      </c>
      <c r="M62" s="98">
        <v>287488.77</v>
      </c>
      <c r="N62" s="98">
        <f t="shared" si="19"/>
        <v>9398363.8399999999</v>
      </c>
      <c r="O62" s="59">
        <v>2630</v>
      </c>
      <c r="P62" s="99" t="s">
        <v>74</v>
      </c>
      <c r="Q62" s="98">
        <f t="shared" si="17"/>
        <v>3573.522372623574</v>
      </c>
      <c r="R62" s="165">
        <f t="shared" si="8"/>
        <v>9.2533752034152172</v>
      </c>
      <c r="S62" s="164">
        <f t="shared" si="8"/>
        <v>0.34338038916444108</v>
      </c>
      <c r="T62" s="459">
        <f t="shared" si="7"/>
        <v>8.8795043377001086</v>
      </c>
      <c r="U62" s="140"/>
      <c r="V62" s="101"/>
    </row>
    <row r="63" spans="1:22" s="100" customFormat="1">
      <c r="A63" s="58" t="s">
        <v>508</v>
      </c>
      <c r="B63" s="98">
        <v>18191622.370000001</v>
      </c>
      <c r="C63" s="98">
        <v>349857.1</v>
      </c>
      <c r="D63" s="98">
        <v>997858.16</v>
      </c>
      <c r="E63" s="98">
        <v>532825.43000000005</v>
      </c>
      <c r="F63" s="103">
        <f t="shared" si="9"/>
        <v>20072163.060000002</v>
      </c>
      <c r="G63" s="59">
        <v>35998</v>
      </c>
      <c r="H63" s="106" t="s">
        <v>90</v>
      </c>
      <c r="I63" s="98">
        <f t="shared" si="18"/>
        <v>557.5910622812379</v>
      </c>
      <c r="J63" s="98">
        <v>19897315.82</v>
      </c>
      <c r="K63" s="98">
        <v>263340.58</v>
      </c>
      <c r="L63" s="98">
        <v>1098052.08</v>
      </c>
      <c r="M63" s="98">
        <v>670807.13</v>
      </c>
      <c r="N63" s="98">
        <f t="shared" si="19"/>
        <v>21929515.609999996</v>
      </c>
      <c r="O63" s="59">
        <v>47612</v>
      </c>
      <c r="P63" s="106" t="s">
        <v>217</v>
      </c>
      <c r="Q63" s="98">
        <f t="shared" si="17"/>
        <v>460.5879948332352</v>
      </c>
      <c r="R63" s="165">
        <f t="shared" si="8"/>
        <v>9.2533751566683087</v>
      </c>
      <c r="S63" s="164">
        <f t="shared" si="8"/>
        <v>32.262903494638593</v>
      </c>
      <c r="T63" s="356">
        <f t="shared" si="7"/>
        <v>-17.396811751454557</v>
      </c>
      <c r="U63" s="140"/>
      <c r="V63" s="101"/>
    </row>
    <row r="64" spans="1:22" s="100" customFormat="1">
      <c r="A64" s="58" t="s">
        <v>509</v>
      </c>
      <c r="B64" s="98">
        <v>6040323.5899999999</v>
      </c>
      <c r="C64" s="98">
        <v>3698.94</v>
      </c>
      <c r="D64" s="98">
        <v>517407.08</v>
      </c>
      <c r="E64" s="98">
        <v>362775.87</v>
      </c>
      <c r="F64" s="103">
        <f t="shared" si="9"/>
        <v>6924205.4800000004</v>
      </c>
      <c r="G64" s="59">
        <v>1427</v>
      </c>
      <c r="H64" s="99" t="s">
        <v>70</v>
      </c>
      <c r="I64" s="98">
        <f t="shared" si="18"/>
        <v>4852.281345480028</v>
      </c>
      <c r="J64" s="98">
        <v>6445502.8600000003</v>
      </c>
      <c r="K64" s="98">
        <v>202052.12</v>
      </c>
      <c r="L64" s="98">
        <v>501694.99</v>
      </c>
      <c r="M64" s="98">
        <v>429521.72</v>
      </c>
      <c r="N64" s="98">
        <f t="shared" si="19"/>
        <v>7578771.6900000004</v>
      </c>
      <c r="O64" s="59">
        <v>4767</v>
      </c>
      <c r="P64" s="99" t="s">
        <v>70</v>
      </c>
      <c r="Q64" s="98">
        <f t="shared" si="17"/>
        <v>1589.8409251101323</v>
      </c>
      <c r="R64" s="165">
        <f t="shared" si="8"/>
        <v>9.4533042367194451</v>
      </c>
      <c r="S64" s="164">
        <f t="shared" si="8"/>
        <v>234.05746320953048</v>
      </c>
      <c r="T64" s="356">
        <f t="shared" si="7"/>
        <v>-67.235186669645771</v>
      </c>
      <c r="U64" s="140"/>
      <c r="V64" s="101"/>
    </row>
    <row r="65" spans="1:22" s="100" customFormat="1">
      <c r="A65" s="58" t="s">
        <v>510</v>
      </c>
      <c r="B65" s="98">
        <v>6103414.6200000001</v>
      </c>
      <c r="C65" s="98">
        <v>3698.94</v>
      </c>
      <c r="D65" s="98">
        <v>589027.25</v>
      </c>
      <c r="E65" s="98">
        <v>336552.77</v>
      </c>
      <c r="F65" s="103">
        <f t="shared" si="9"/>
        <v>7032693.5800000001</v>
      </c>
      <c r="G65" s="59">
        <v>1322</v>
      </c>
      <c r="H65" s="99" t="s">
        <v>69</v>
      </c>
      <c r="I65" s="98">
        <f t="shared" si="18"/>
        <v>5319.7379576399399</v>
      </c>
      <c r="J65" s="98">
        <v>8964072.8800000008</v>
      </c>
      <c r="K65" s="98">
        <v>256586.93</v>
      </c>
      <c r="L65" s="98">
        <v>545570.65</v>
      </c>
      <c r="M65" s="98">
        <v>358061.72</v>
      </c>
      <c r="N65" s="98">
        <f t="shared" si="19"/>
        <v>10124292.180000002</v>
      </c>
      <c r="O65" s="59">
        <v>906</v>
      </c>
      <c r="P65" s="99" t="s">
        <v>69</v>
      </c>
      <c r="Q65" s="98">
        <f t="shared" si="17"/>
        <v>11174.715430463579</v>
      </c>
      <c r="R65" s="165">
        <f t="shared" si="8"/>
        <v>43.960376843263532</v>
      </c>
      <c r="S65" s="199">
        <f t="shared" si="8"/>
        <v>-31.467473524962177</v>
      </c>
      <c r="T65" s="459">
        <f t="shared" si="7"/>
        <v>110.06138872714615</v>
      </c>
      <c r="U65" s="140"/>
      <c r="V65" s="101"/>
    </row>
    <row r="66" spans="1:22" s="100" customFormat="1">
      <c r="A66" s="58" t="s">
        <v>511</v>
      </c>
      <c r="B66" s="98">
        <v>4660961.51</v>
      </c>
      <c r="C66" s="98">
        <v>1870.03</v>
      </c>
      <c r="D66" s="98">
        <v>275039.59000000003</v>
      </c>
      <c r="E66" s="98">
        <v>206446.73</v>
      </c>
      <c r="F66" s="103">
        <f t="shared" si="9"/>
        <v>5144317.8600000003</v>
      </c>
      <c r="G66" s="59">
        <v>1</v>
      </c>
      <c r="H66" s="393" t="s">
        <v>10</v>
      </c>
      <c r="I66" s="98">
        <f t="shared" si="18"/>
        <v>5144317.8600000003</v>
      </c>
      <c r="J66" s="98">
        <v>8088951.1200000001</v>
      </c>
      <c r="K66" s="98">
        <v>25500.55</v>
      </c>
      <c r="L66" s="98">
        <v>297814.65999999997</v>
      </c>
      <c r="M66" s="98">
        <v>214489.07</v>
      </c>
      <c r="N66" s="98">
        <f t="shared" si="19"/>
        <v>8626755.4000000004</v>
      </c>
      <c r="O66" s="59">
        <v>1</v>
      </c>
      <c r="P66" s="99" t="s">
        <v>10</v>
      </c>
      <c r="Q66" s="98">
        <f t="shared" si="17"/>
        <v>8626755.4000000004</v>
      </c>
      <c r="R66" s="165">
        <f t="shared" si="8"/>
        <v>67.694836026325945</v>
      </c>
      <c r="S66" s="164">
        <f t="shared" si="8"/>
        <v>0</v>
      </c>
      <c r="T66" s="459">
        <f t="shared" si="7"/>
        <v>67.694836026325945</v>
      </c>
      <c r="U66" s="140"/>
      <c r="V66" s="101"/>
    </row>
    <row r="67" spans="1:22" s="100" customFormat="1">
      <c r="A67" s="58" t="s">
        <v>512</v>
      </c>
      <c r="B67" s="98">
        <v>1997554.93</v>
      </c>
      <c r="C67" s="98">
        <v>801.44</v>
      </c>
      <c r="D67" s="98">
        <v>117874.11</v>
      </c>
      <c r="E67" s="98">
        <v>88477.17</v>
      </c>
      <c r="F67" s="103">
        <f t="shared" si="9"/>
        <v>2204707.65</v>
      </c>
      <c r="G67" s="59">
        <v>91</v>
      </c>
      <c r="H67" s="99" t="s">
        <v>75</v>
      </c>
      <c r="I67" s="98">
        <f t="shared" si="18"/>
        <v>24227.556593406593</v>
      </c>
      <c r="J67" s="98">
        <v>3466693.33</v>
      </c>
      <c r="K67" s="98">
        <v>10928.8</v>
      </c>
      <c r="L67" s="98">
        <v>127634.86</v>
      </c>
      <c r="M67" s="98">
        <v>91923.89</v>
      </c>
      <c r="N67" s="98">
        <f t="shared" si="19"/>
        <v>3697180.88</v>
      </c>
      <c r="O67" s="59">
        <v>92</v>
      </c>
      <c r="P67" s="99" t="s">
        <v>75</v>
      </c>
      <c r="Q67" s="98">
        <f t="shared" si="17"/>
        <v>40186.748695652175</v>
      </c>
      <c r="R67" s="165">
        <f t="shared" si="8"/>
        <v>67.694836093121012</v>
      </c>
      <c r="S67" s="164">
        <f t="shared" si="8"/>
        <v>1.098901098901099</v>
      </c>
      <c r="T67" s="459">
        <f t="shared" si="7"/>
        <v>65.872066135587104</v>
      </c>
      <c r="U67" s="140"/>
      <c r="V67" s="101"/>
    </row>
    <row r="68" spans="1:22" s="100" customFormat="1">
      <c r="A68" s="58" t="s">
        <v>513</v>
      </c>
      <c r="B68" s="98">
        <v>5466151.4000000004</v>
      </c>
      <c r="C68" s="98">
        <v>2260.4699999999998</v>
      </c>
      <c r="D68" s="98">
        <v>397216.33</v>
      </c>
      <c r="E68" s="98">
        <v>224746.71</v>
      </c>
      <c r="F68" s="103">
        <f t="shared" si="9"/>
        <v>6090374.9100000001</v>
      </c>
      <c r="G68" s="59">
        <v>478</v>
      </c>
      <c r="H68" s="106" t="s">
        <v>178</v>
      </c>
      <c r="I68" s="98">
        <f t="shared" si="18"/>
        <v>12741.370104602511</v>
      </c>
      <c r="J68" s="98">
        <v>5103044.58</v>
      </c>
      <c r="K68" s="98">
        <v>12077.64</v>
      </c>
      <c r="L68" s="98">
        <v>356038.52</v>
      </c>
      <c r="M68" s="55">
        <v>298079.57</v>
      </c>
      <c r="N68" s="98">
        <f>SUM(J68:M68)</f>
        <v>5769240.3100000005</v>
      </c>
      <c r="O68" s="59">
        <v>1720</v>
      </c>
      <c r="P68" s="106" t="s">
        <v>178</v>
      </c>
      <c r="Q68" s="98">
        <f t="shared" si="17"/>
        <v>3354.2094825581398</v>
      </c>
      <c r="R68" s="199">
        <f t="shared" si="8"/>
        <v>-5.2728215380093841</v>
      </c>
      <c r="S68" s="164">
        <f t="shared" si="8"/>
        <v>259.83263598326357</v>
      </c>
      <c r="T68" s="356">
        <f t="shared" si="7"/>
        <v>-73.674656218121228</v>
      </c>
      <c r="U68" s="140"/>
      <c r="V68" s="101"/>
    </row>
    <row r="69" spans="1:22" s="100" customFormat="1">
      <c r="A69" s="58" t="s">
        <v>514</v>
      </c>
      <c r="B69" s="98">
        <v>5295382.42</v>
      </c>
      <c r="C69" s="98">
        <v>1232.99</v>
      </c>
      <c r="D69" s="98">
        <v>177266.64</v>
      </c>
      <c r="E69" s="98">
        <v>155562.60999999999</v>
      </c>
      <c r="F69" s="103">
        <f t="shared" si="9"/>
        <v>5629444.6600000001</v>
      </c>
      <c r="G69" s="59">
        <v>1309</v>
      </c>
      <c r="H69" s="99" t="s">
        <v>69</v>
      </c>
      <c r="I69" s="98">
        <f t="shared" si="18"/>
        <v>4300.5688770053475</v>
      </c>
      <c r="J69" s="98">
        <v>7808233.5300000003</v>
      </c>
      <c r="K69" s="98">
        <v>4133.6000000000004</v>
      </c>
      <c r="L69" s="98">
        <v>355874.92</v>
      </c>
      <c r="M69" s="98">
        <v>243730.18</v>
      </c>
      <c r="N69" s="98">
        <f>SUM(J69:M69)</f>
        <v>8411972.2300000004</v>
      </c>
      <c r="O69" s="59">
        <v>1605</v>
      </c>
      <c r="P69" s="99" t="s">
        <v>69</v>
      </c>
      <c r="Q69" s="98">
        <f t="shared" si="17"/>
        <v>5241.1041931464179</v>
      </c>
      <c r="R69" s="165">
        <f t="shared" si="8"/>
        <v>49.428100604154444</v>
      </c>
      <c r="S69" s="164">
        <f t="shared" si="8"/>
        <v>22.612681436210849</v>
      </c>
      <c r="T69" s="459">
        <f t="shared" si="7"/>
        <v>21.870020991176439</v>
      </c>
      <c r="U69" s="140"/>
      <c r="V69" s="101"/>
    </row>
    <row r="70" spans="1:22" s="100" customFormat="1">
      <c r="A70" s="58" t="s">
        <v>515</v>
      </c>
      <c r="B70" s="98">
        <v>11844279.42</v>
      </c>
      <c r="C70" s="98">
        <v>15090.41</v>
      </c>
      <c r="D70" s="98">
        <v>410893.08</v>
      </c>
      <c r="E70" s="98">
        <v>932918.16</v>
      </c>
      <c r="F70" s="103">
        <f t="shared" si="9"/>
        <v>13203181.07</v>
      </c>
      <c r="G70" s="59">
        <v>7400</v>
      </c>
      <c r="H70" s="106" t="s">
        <v>91</v>
      </c>
      <c r="I70" s="98">
        <f t="shared" si="18"/>
        <v>1784.2136581081081</v>
      </c>
      <c r="J70" s="98">
        <v>6047390.4100000001</v>
      </c>
      <c r="K70" s="98">
        <v>0</v>
      </c>
      <c r="L70" s="98">
        <v>301118.03000000003</v>
      </c>
      <c r="M70" s="98">
        <v>1908044.02</v>
      </c>
      <c r="N70" s="98">
        <f t="shared" si="19"/>
        <v>8256552.4600000009</v>
      </c>
      <c r="O70" s="59">
        <v>5594</v>
      </c>
      <c r="P70" s="106" t="s">
        <v>91</v>
      </c>
      <c r="Q70" s="98">
        <f t="shared" si="17"/>
        <v>1475.9657597425814</v>
      </c>
      <c r="R70" s="199">
        <f t="shared" si="8"/>
        <v>-37.465430366925958</v>
      </c>
      <c r="S70" s="199">
        <f t="shared" si="8"/>
        <v>-24.405405405405407</v>
      </c>
      <c r="T70" s="356">
        <f t="shared" si="7"/>
        <v>-17.276400556891684</v>
      </c>
      <c r="U70" s="140"/>
      <c r="V70" s="101"/>
    </row>
    <row r="71" spans="1:22">
      <c r="A71" s="57" t="s">
        <v>516</v>
      </c>
      <c r="B71" s="98">
        <v>7896186.2699999996</v>
      </c>
      <c r="C71" s="98">
        <v>10060.27</v>
      </c>
      <c r="D71" s="98">
        <v>273928.71999999997</v>
      </c>
      <c r="E71" s="98">
        <v>621945.43999999994</v>
      </c>
      <c r="F71" s="103">
        <f t="shared" si="9"/>
        <v>8802120.6999999993</v>
      </c>
      <c r="G71" s="396">
        <v>1</v>
      </c>
      <c r="H71" s="393" t="s">
        <v>118</v>
      </c>
      <c r="I71" s="98">
        <f t="shared" si="18"/>
        <v>8802120.6999999993</v>
      </c>
      <c r="J71" s="98">
        <v>4031593.6</v>
      </c>
      <c r="K71" s="98">
        <v>0</v>
      </c>
      <c r="L71" s="98">
        <v>200745.35</v>
      </c>
      <c r="M71" s="98">
        <v>1272029.3500000001</v>
      </c>
      <c r="N71" s="98">
        <f>SUM(J71:M71)</f>
        <v>5504368.3000000007</v>
      </c>
      <c r="O71" s="59">
        <v>1</v>
      </c>
      <c r="P71" s="99" t="s">
        <v>118</v>
      </c>
      <c r="Q71" s="98">
        <f>SUM(N71/O71)</f>
        <v>5504368.3000000007</v>
      </c>
      <c r="R71" s="199">
        <f t="shared" si="8"/>
        <v>-37.465430347938756</v>
      </c>
      <c r="S71" s="164">
        <f t="shared" si="8"/>
        <v>0</v>
      </c>
      <c r="T71" s="356">
        <f t="shared" si="7"/>
        <v>-37.465430347938756</v>
      </c>
    </row>
    <row r="72" spans="1:22">
      <c r="A72" s="57" t="s">
        <v>517</v>
      </c>
      <c r="B72" s="98">
        <v>1122689.22</v>
      </c>
      <c r="C72" s="98">
        <v>6032.45</v>
      </c>
      <c r="D72" s="98">
        <v>48701.88</v>
      </c>
      <c r="E72" s="98">
        <v>34860.68</v>
      </c>
      <c r="F72" s="103">
        <f t="shared" si="9"/>
        <v>1212284.2299999997</v>
      </c>
      <c r="G72" s="59">
        <v>31</v>
      </c>
      <c r="H72" s="59" t="s">
        <v>108</v>
      </c>
      <c r="I72" s="98">
        <f t="shared" si="18"/>
        <v>39105.942903225798</v>
      </c>
      <c r="J72" s="98">
        <v>0</v>
      </c>
      <c r="K72" s="98">
        <v>0</v>
      </c>
      <c r="L72" s="98">
        <v>0</v>
      </c>
      <c r="M72" s="98">
        <v>0</v>
      </c>
      <c r="N72" s="164">
        <f t="shared" ref="N72" si="20">SUM(J72:M72)</f>
        <v>0</v>
      </c>
      <c r="O72" s="59">
        <v>0</v>
      </c>
      <c r="P72" s="99" t="s">
        <v>303</v>
      </c>
      <c r="Q72" s="98">
        <v>0</v>
      </c>
      <c r="R72" s="199">
        <f t="shared" ref="R72:S72" si="21">SUM((N72-F72)*100/F72)</f>
        <v>-100</v>
      </c>
      <c r="S72" s="199">
        <f t="shared" si="21"/>
        <v>-100</v>
      </c>
      <c r="T72" s="356">
        <f t="shared" si="7"/>
        <v>-100</v>
      </c>
    </row>
    <row r="73" spans="1:22" s="100" customFormat="1" ht="24.75" thickBot="1">
      <c r="A73" s="166" t="s">
        <v>50</v>
      </c>
      <c r="B73" s="167">
        <f>SUM(B14+B35)</f>
        <v>1679284386.0900004</v>
      </c>
      <c r="C73" s="167">
        <f>SUM(C14+C35)</f>
        <v>17796718.999999996</v>
      </c>
      <c r="D73" s="167">
        <f>SUM(D14+D35)</f>
        <v>108149905.93999997</v>
      </c>
      <c r="E73" s="167">
        <f>SUM(E14+E35)</f>
        <v>204894645.27000001</v>
      </c>
      <c r="F73" s="167">
        <f>SUM(F14+F35)</f>
        <v>2010125656.2999997</v>
      </c>
      <c r="G73" s="146"/>
      <c r="H73" s="167">
        <f>SUM(H36:H70)</f>
        <v>0</v>
      </c>
      <c r="I73" s="167"/>
      <c r="J73" s="167">
        <f>SUM(J14+J35)</f>
        <v>2053058134.9946091</v>
      </c>
      <c r="K73" s="167">
        <f>SUM(K14+K35)</f>
        <v>14900172.281515</v>
      </c>
      <c r="L73" s="167">
        <f>SUM(L14+L35)</f>
        <v>99371411.746989995</v>
      </c>
      <c r="M73" s="167">
        <f>SUM(M14+M35)</f>
        <v>242606051.04241899</v>
      </c>
      <c r="N73" s="167">
        <f>+N14+N35</f>
        <v>2409935770.0655332</v>
      </c>
      <c r="O73" s="167"/>
      <c r="P73" s="167"/>
      <c r="Q73" s="167"/>
      <c r="R73" s="168"/>
      <c r="S73" s="167"/>
      <c r="T73" s="168"/>
      <c r="U73" s="140"/>
      <c r="V73" s="101"/>
    </row>
    <row r="74" spans="1:22" ht="24.75" thickTop="1"/>
    <row r="75" spans="1:22" s="55" customFormat="1">
      <c r="R75" s="443"/>
      <c r="U75" s="147"/>
    </row>
    <row r="76" spans="1:22">
      <c r="F76" s="55"/>
    </row>
    <row r="78" spans="1:22">
      <c r="F78" s="55"/>
      <c r="G78" s="132"/>
      <c r="R78" s="132"/>
      <c r="U78" s="132"/>
      <c r="V78" s="132"/>
    </row>
  </sheetData>
  <mergeCells count="7">
    <mergeCell ref="A1:T1"/>
    <mergeCell ref="A2:T2"/>
    <mergeCell ref="A3:T3"/>
    <mergeCell ref="A4:T4"/>
    <mergeCell ref="A8:I8"/>
    <mergeCell ref="J8:Q8"/>
    <mergeCell ref="R8:T8"/>
  </mergeCells>
  <pageMargins left="0.15748031496062992" right="0" top="0.23622047244094491" bottom="0.28999999999999998" header="0.24" footer="0.15748031496062992"/>
  <pageSetup paperSize="5" scale="37" orientation="landscape" r:id="rId1"/>
  <headerFooter>
    <oddFooter>&amp;C&amp;P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>
  <sheetPr>
    <tabColor rgb="FFFF0000"/>
  </sheetPr>
  <dimension ref="A1:C159"/>
  <sheetViews>
    <sheetView workbookViewId="0"/>
  </sheetViews>
  <sheetFormatPr defaultColWidth="55.5703125" defaultRowHeight="27.75"/>
  <cols>
    <col min="1" max="1" width="45.7109375" style="219" customWidth="1"/>
    <col min="2" max="2" width="98.140625" style="224" customWidth="1"/>
    <col min="3" max="16384" width="55.5703125" style="219"/>
  </cols>
  <sheetData>
    <row r="1" spans="1:2" s="113" customFormat="1">
      <c r="A1" s="212" t="s">
        <v>1</v>
      </c>
      <c r="B1" s="221"/>
    </row>
    <row r="2" spans="1:2" s="113" customFormat="1">
      <c r="A2" s="113" t="s">
        <v>96</v>
      </c>
      <c r="B2" s="221"/>
    </row>
    <row r="3" spans="1:2" s="113" customFormat="1">
      <c r="B3" s="221"/>
    </row>
    <row r="4" spans="1:2" s="113" customFormat="1">
      <c r="A4" s="211" t="s">
        <v>265</v>
      </c>
      <c r="B4" s="207" t="s">
        <v>518</v>
      </c>
    </row>
    <row r="5" spans="1:2" s="113" customFormat="1">
      <c r="A5" s="211" t="s">
        <v>266</v>
      </c>
      <c r="B5" s="207" t="s">
        <v>388</v>
      </c>
    </row>
    <row r="6" spans="1:2" s="113" customFormat="1">
      <c r="A6" s="211"/>
      <c r="B6" s="210" t="s">
        <v>389</v>
      </c>
    </row>
    <row r="7" spans="1:2" s="113" customFormat="1">
      <c r="A7" s="211" t="s">
        <v>231</v>
      </c>
      <c r="B7" s="207" t="s">
        <v>519</v>
      </c>
    </row>
    <row r="8" spans="1:2" s="113" customFormat="1">
      <c r="A8" s="211" t="s">
        <v>232</v>
      </c>
      <c r="B8" s="482" t="s">
        <v>390</v>
      </c>
    </row>
    <row r="9" spans="1:2" s="113" customFormat="1">
      <c r="A9" s="211"/>
      <c r="B9" s="522" t="s">
        <v>391</v>
      </c>
    </row>
    <row r="10" spans="1:2" s="113" customFormat="1">
      <c r="A10" s="211" t="s">
        <v>331</v>
      </c>
      <c r="B10" s="482" t="s">
        <v>520</v>
      </c>
    </row>
    <row r="11" spans="1:2" s="113" customFormat="1">
      <c r="A11" s="211" t="s">
        <v>400</v>
      </c>
      <c r="B11" s="523" t="s">
        <v>576</v>
      </c>
    </row>
    <row r="12" spans="1:2" s="100" customFormat="1" ht="24">
      <c r="A12" s="211" t="s">
        <v>342</v>
      </c>
      <c r="B12" s="207" t="s">
        <v>521</v>
      </c>
    </row>
    <row r="13" spans="1:2" s="100" customFormat="1" ht="24">
      <c r="A13" s="480"/>
      <c r="B13" s="207" t="s">
        <v>392</v>
      </c>
    </row>
    <row r="14" spans="1:2" s="100" customFormat="1" ht="24">
      <c r="A14" s="480"/>
      <c r="B14" s="207" t="s">
        <v>393</v>
      </c>
    </row>
    <row r="15" spans="1:2" s="113" customFormat="1">
      <c r="A15" s="211" t="s">
        <v>532</v>
      </c>
      <c r="B15" s="207" t="s">
        <v>181</v>
      </c>
    </row>
    <row r="16" spans="1:2" s="113" customFormat="1">
      <c r="A16" s="398" t="s">
        <v>401</v>
      </c>
      <c r="B16" s="207" t="s">
        <v>577</v>
      </c>
    </row>
    <row r="17" spans="1:3" s="113" customFormat="1">
      <c r="A17" s="211" t="s">
        <v>533</v>
      </c>
      <c r="B17" s="207" t="s">
        <v>181</v>
      </c>
    </row>
    <row r="18" spans="1:3" s="113" customFormat="1">
      <c r="A18" s="398"/>
      <c r="B18" s="207" t="s">
        <v>577</v>
      </c>
      <c r="C18" s="220"/>
    </row>
    <row r="19" spans="1:3" s="113" customFormat="1">
      <c r="A19" s="211" t="s">
        <v>534</v>
      </c>
      <c r="B19" s="207" t="s">
        <v>522</v>
      </c>
    </row>
    <row r="20" spans="1:3" s="113" customFormat="1">
      <c r="A20" s="398" t="s">
        <v>233</v>
      </c>
      <c r="B20" s="207" t="s">
        <v>568</v>
      </c>
    </row>
    <row r="21" spans="1:3" s="113" customFormat="1">
      <c r="A21" s="398" t="s">
        <v>535</v>
      </c>
      <c r="B21" s="207" t="s">
        <v>523</v>
      </c>
    </row>
    <row r="22" spans="1:3" s="113" customFormat="1">
      <c r="A22" s="398"/>
      <c r="B22" s="207" t="s">
        <v>394</v>
      </c>
    </row>
    <row r="23" spans="1:3" s="132" customFormat="1" ht="24">
      <c r="A23" s="222" t="s">
        <v>536</v>
      </c>
      <c r="B23" s="207" t="s">
        <v>524</v>
      </c>
      <c r="C23" s="282"/>
    </row>
    <row r="24" spans="1:3" s="132" customFormat="1" ht="24">
      <c r="A24" s="209" t="s">
        <v>403</v>
      </c>
      <c r="B24" s="207" t="s">
        <v>395</v>
      </c>
      <c r="C24" s="200"/>
    </row>
    <row r="25" spans="1:3" s="132" customFormat="1" ht="24">
      <c r="A25" s="543" t="s">
        <v>537</v>
      </c>
      <c r="B25" s="207" t="s">
        <v>179</v>
      </c>
      <c r="C25" s="200"/>
    </row>
    <row r="26" spans="1:3" s="132" customFormat="1" ht="24">
      <c r="A26" s="209" t="s">
        <v>402</v>
      </c>
      <c r="B26" s="207" t="s">
        <v>578</v>
      </c>
      <c r="C26" s="200"/>
    </row>
    <row r="27" spans="1:3" s="132" customFormat="1" ht="24">
      <c r="A27" s="543" t="s">
        <v>538</v>
      </c>
      <c r="B27" s="207" t="s">
        <v>179</v>
      </c>
      <c r="C27" s="200"/>
    </row>
    <row r="28" spans="1:3" s="132" customFormat="1" ht="24">
      <c r="A28" s="209" t="s">
        <v>404</v>
      </c>
      <c r="B28" s="207" t="s">
        <v>578</v>
      </c>
      <c r="C28" s="200"/>
    </row>
    <row r="29" spans="1:3" s="132" customFormat="1" ht="24">
      <c r="A29" s="543" t="s">
        <v>539</v>
      </c>
      <c r="B29" s="207" t="s">
        <v>179</v>
      </c>
      <c r="C29" s="200"/>
    </row>
    <row r="30" spans="1:3" s="132" customFormat="1" ht="24">
      <c r="A30" s="209"/>
      <c r="B30" s="207" t="s">
        <v>578</v>
      </c>
      <c r="C30" s="200"/>
    </row>
    <row r="31" spans="1:3" s="132" customFormat="1" ht="24">
      <c r="A31" s="543" t="s">
        <v>540</v>
      </c>
      <c r="B31" s="207" t="s">
        <v>179</v>
      </c>
      <c r="C31" s="200"/>
    </row>
    <row r="32" spans="1:3" s="132" customFormat="1" ht="24">
      <c r="A32" s="209" t="s">
        <v>405</v>
      </c>
      <c r="B32" s="207" t="s">
        <v>578</v>
      </c>
      <c r="C32" s="200"/>
    </row>
    <row r="33" spans="1:3" s="132" customFormat="1" ht="24">
      <c r="A33" s="543" t="s">
        <v>541</v>
      </c>
      <c r="B33" s="207" t="s">
        <v>179</v>
      </c>
      <c r="C33" s="200"/>
    </row>
    <row r="34" spans="1:3" s="132" customFormat="1" ht="24">
      <c r="A34" s="209"/>
      <c r="B34" s="207" t="s">
        <v>578</v>
      </c>
      <c r="C34" s="200"/>
    </row>
    <row r="35" spans="1:3" s="132" customFormat="1" ht="24">
      <c r="A35" s="543" t="s">
        <v>542</v>
      </c>
      <c r="B35" s="207" t="s">
        <v>396</v>
      </c>
      <c r="C35" s="200"/>
    </row>
    <row r="36" spans="1:3" s="132" customFormat="1" ht="24">
      <c r="A36" s="209" t="s">
        <v>406</v>
      </c>
      <c r="B36" s="207" t="s">
        <v>581</v>
      </c>
      <c r="C36" s="200"/>
    </row>
    <row r="37" spans="1:3" s="132" customFormat="1" ht="24">
      <c r="A37" s="222" t="s">
        <v>543</v>
      </c>
      <c r="B37" s="207" t="s">
        <v>332</v>
      </c>
      <c r="C37" s="200"/>
    </row>
    <row r="38" spans="1:3" s="132" customFormat="1" ht="24">
      <c r="A38" s="211"/>
      <c r="B38" s="207" t="s">
        <v>582</v>
      </c>
      <c r="C38" s="200"/>
    </row>
    <row r="39" spans="1:3" s="132" customFormat="1" ht="24">
      <c r="A39" s="211" t="s">
        <v>544</v>
      </c>
      <c r="B39" s="207" t="s">
        <v>397</v>
      </c>
      <c r="C39" s="200"/>
    </row>
    <row r="40" spans="1:3" s="132" customFormat="1" ht="24">
      <c r="A40" s="211"/>
      <c r="B40" s="207" t="s">
        <v>582</v>
      </c>
      <c r="C40" s="200"/>
    </row>
    <row r="41" spans="1:3" s="132" customFormat="1" ht="24">
      <c r="A41" s="211" t="s">
        <v>545</v>
      </c>
      <c r="B41" s="207" t="s">
        <v>398</v>
      </c>
      <c r="C41" s="200"/>
    </row>
    <row r="42" spans="1:3" s="132" customFormat="1" ht="24">
      <c r="A42" s="211"/>
      <c r="B42" s="207" t="s">
        <v>583</v>
      </c>
      <c r="C42" s="200"/>
    </row>
    <row r="43" spans="1:3" s="132" customFormat="1" ht="24">
      <c r="A43" s="222" t="s">
        <v>546</v>
      </c>
      <c r="B43" s="207" t="s">
        <v>333</v>
      </c>
      <c r="C43" s="200"/>
    </row>
    <row r="44" spans="1:3" s="132" customFormat="1" ht="24">
      <c r="A44" s="211"/>
      <c r="B44" s="207" t="s">
        <v>582</v>
      </c>
      <c r="C44" s="200"/>
    </row>
    <row r="45" spans="1:3" s="132" customFormat="1" ht="24">
      <c r="A45" s="222" t="s">
        <v>547</v>
      </c>
      <c r="B45" s="207" t="s">
        <v>334</v>
      </c>
      <c r="C45" s="200"/>
    </row>
    <row r="46" spans="1:3" s="132" customFormat="1" ht="24">
      <c r="A46" s="211"/>
      <c r="B46" s="207" t="s">
        <v>572</v>
      </c>
      <c r="C46" s="200"/>
    </row>
    <row r="47" spans="1:3" s="132" customFormat="1" ht="24">
      <c r="A47" s="211" t="s">
        <v>548</v>
      </c>
      <c r="B47" s="207" t="s">
        <v>399</v>
      </c>
      <c r="C47" s="200"/>
    </row>
    <row r="48" spans="1:3" s="132" customFormat="1" ht="24">
      <c r="A48" s="211"/>
      <c r="B48" s="207" t="s">
        <v>584</v>
      </c>
      <c r="C48" s="200"/>
    </row>
    <row r="49" spans="1:3" s="132" customFormat="1" ht="24">
      <c r="A49" s="222" t="s">
        <v>549</v>
      </c>
      <c r="B49" s="207" t="s">
        <v>335</v>
      </c>
      <c r="C49" s="200"/>
    </row>
    <row r="50" spans="1:3" s="132" customFormat="1" ht="24">
      <c r="A50" s="211"/>
      <c r="B50" s="207" t="s">
        <v>585</v>
      </c>
      <c r="C50" s="200"/>
    </row>
    <row r="51" spans="1:3" s="132" customFormat="1" ht="24">
      <c r="A51" s="222" t="s">
        <v>550</v>
      </c>
      <c r="B51" s="207" t="s">
        <v>525</v>
      </c>
      <c r="C51" s="200"/>
    </row>
    <row r="52" spans="1:3" s="132" customFormat="1" ht="24">
      <c r="A52" s="211" t="s">
        <v>270</v>
      </c>
      <c r="B52" s="207" t="s">
        <v>586</v>
      </c>
      <c r="C52" s="200"/>
    </row>
    <row r="53" spans="1:3" s="132" customFormat="1" ht="24">
      <c r="A53" s="222" t="s">
        <v>551</v>
      </c>
      <c r="B53" s="207" t="s">
        <v>336</v>
      </c>
      <c r="C53" s="200"/>
    </row>
    <row r="54" spans="1:3" s="132" customFormat="1" ht="24">
      <c r="A54" s="211" t="s">
        <v>271</v>
      </c>
      <c r="B54" s="207" t="s">
        <v>585</v>
      </c>
      <c r="C54" s="200"/>
    </row>
    <row r="55" spans="1:3" s="132" customFormat="1" ht="24">
      <c r="A55" s="211" t="s">
        <v>552</v>
      </c>
      <c r="B55" s="207" t="s">
        <v>526</v>
      </c>
      <c r="C55" s="200"/>
    </row>
    <row r="56" spans="1:3" s="132" customFormat="1" ht="24">
      <c r="A56" s="211"/>
      <c r="B56" s="523" t="s">
        <v>587</v>
      </c>
      <c r="C56" s="200"/>
    </row>
    <row r="57" spans="1:3" s="100" customFormat="1" ht="23.25" customHeight="1">
      <c r="A57" s="211" t="s">
        <v>553</v>
      </c>
      <c r="B57" s="207" t="s">
        <v>181</v>
      </c>
      <c r="C57" s="223"/>
    </row>
    <row r="58" spans="1:3" s="100" customFormat="1" ht="23.25" customHeight="1">
      <c r="A58" s="211" t="s">
        <v>225</v>
      </c>
      <c r="B58" s="207" t="s">
        <v>577</v>
      </c>
      <c r="C58" s="223"/>
    </row>
    <row r="59" spans="1:3" s="100" customFormat="1" ht="24">
      <c r="A59" s="211" t="s">
        <v>554</v>
      </c>
      <c r="B59" s="207" t="s">
        <v>337</v>
      </c>
    </row>
    <row r="60" spans="1:3" s="100" customFormat="1" ht="24">
      <c r="A60" s="211"/>
      <c r="B60" s="207" t="s">
        <v>588</v>
      </c>
    </row>
    <row r="61" spans="1:3" s="100" customFormat="1" ht="24">
      <c r="A61" s="211"/>
      <c r="B61" s="207" t="s">
        <v>569</v>
      </c>
    </row>
    <row r="62" spans="1:3" s="100" customFormat="1" ht="24">
      <c r="A62" s="211" t="s">
        <v>555</v>
      </c>
      <c r="B62" s="207" t="s">
        <v>527</v>
      </c>
    </row>
    <row r="63" spans="1:3" s="100" customFormat="1" ht="24">
      <c r="A63" s="211"/>
      <c r="B63" s="207" t="s">
        <v>589</v>
      </c>
    </row>
    <row r="64" spans="1:3" s="100" customFormat="1" ht="24">
      <c r="A64" s="211" t="s">
        <v>556</v>
      </c>
      <c r="B64" s="207" t="s">
        <v>528</v>
      </c>
    </row>
    <row r="65" spans="1:2" s="100" customFormat="1" ht="24">
      <c r="A65" s="211"/>
      <c r="B65" s="207" t="s">
        <v>590</v>
      </c>
    </row>
    <row r="66" spans="1:2" s="100" customFormat="1" ht="24">
      <c r="A66" s="211" t="s">
        <v>557</v>
      </c>
      <c r="B66" s="207" t="s">
        <v>529</v>
      </c>
    </row>
    <row r="67" spans="1:2" s="100" customFormat="1" ht="24">
      <c r="A67" s="211" t="s">
        <v>233</v>
      </c>
      <c r="B67" s="207" t="s">
        <v>570</v>
      </c>
    </row>
    <row r="68" spans="1:2" s="100" customFormat="1" ht="24">
      <c r="A68" s="211"/>
      <c r="B68" s="207" t="s">
        <v>591</v>
      </c>
    </row>
    <row r="69" spans="1:2" s="100" customFormat="1" ht="24">
      <c r="A69" s="211" t="s">
        <v>558</v>
      </c>
      <c r="B69" s="207" t="s">
        <v>179</v>
      </c>
    </row>
    <row r="70" spans="1:2" s="100" customFormat="1" ht="24">
      <c r="A70" s="211"/>
      <c r="B70" s="207" t="s">
        <v>579</v>
      </c>
    </row>
    <row r="71" spans="1:2" s="100" customFormat="1" ht="24">
      <c r="A71" s="211" t="s">
        <v>559</v>
      </c>
      <c r="B71" s="207" t="s">
        <v>179</v>
      </c>
    </row>
    <row r="72" spans="1:2" s="100" customFormat="1" ht="24">
      <c r="A72" s="211"/>
      <c r="B72" s="207" t="s">
        <v>579</v>
      </c>
    </row>
    <row r="73" spans="1:2" s="100" customFormat="1" ht="24">
      <c r="A73" s="211" t="s">
        <v>560</v>
      </c>
      <c r="B73" s="207" t="s">
        <v>530</v>
      </c>
    </row>
    <row r="74" spans="1:2" s="100" customFormat="1" ht="24">
      <c r="A74" s="211"/>
      <c r="B74" s="207" t="s">
        <v>571</v>
      </c>
    </row>
    <row r="75" spans="1:2" s="100" customFormat="1" ht="24">
      <c r="A75" s="211" t="s">
        <v>561</v>
      </c>
      <c r="B75" s="207" t="s">
        <v>338</v>
      </c>
    </row>
    <row r="76" spans="1:2" s="100" customFormat="1" ht="24">
      <c r="A76" s="211"/>
      <c r="B76" s="400" t="s">
        <v>574</v>
      </c>
    </row>
    <row r="77" spans="1:2" s="100" customFormat="1" ht="24">
      <c r="A77" s="211"/>
      <c r="B77" s="400" t="s">
        <v>575</v>
      </c>
    </row>
    <row r="78" spans="1:2" s="100" customFormat="1" ht="24">
      <c r="A78" s="211"/>
      <c r="B78" s="400" t="s">
        <v>592</v>
      </c>
    </row>
    <row r="79" spans="1:2" s="100" customFormat="1" ht="24">
      <c r="A79" s="211" t="s">
        <v>562</v>
      </c>
      <c r="B79" s="207" t="s">
        <v>339</v>
      </c>
    </row>
    <row r="80" spans="1:2" s="100" customFormat="1" ht="24">
      <c r="A80" s="211"/>
      <c r="B80" s="400" t="s">
        <v>593</v>
      </c>
    </row>
    <row r="81" spans="1:2" s="100" customFormat="1" ht="24">
      <c r="A81" s="211" t="s">
        <v>563</v>
      </c>
      <c r="B81" s="207" t="s">
        <v>340</v>
      </c>
    </row>
    <row r="82" spans="1:2" s="100" customFormat="1" ht="24">
      <c r="A82" s="211"/>
      <c r="B82" s="399" t="s">
        <v>594</v>
      </c>
    </row>
    <row r="83" spans="1:2" s="100" customFormat="1" ht="24">
      <c r="A83" s="211"/>
      <c r="B83" s="399" t="s">
        <v>595</v>
      </c>
    </row>
    <row r="84" spans="1:2" s="100" customFormat="1" ht="24">
      <c r="A84" s="211" t="s">
        <v>564</v>
      </c>
      <c r="B84" s="399" t="s">
        <v>531</v>
      </c>
    </row>
    <row r="85" spans="1:2" s="100" customFormat="1" ht="24">
      <c r="A85" s="211"/>
      <c r="B85" s="399" t="s">
        <v>596</v>
      </c>
    </row>
    <row r="86" spans="1:2" s="100" customFormat="1" ht="24">
      <c r="A86" s="211" t="s">
        <v>565</v>
      </c>
      <c r="B86" s="207" t="s">
        <v>341</v>
      </c>
    </row>
    <row r="87" spans="1:2" s="100" customFormat="1" ht="24">
      <c r="A87" s="211"/>
      <c r="B87" s="400" t="s">
        <v>597</v>
      </c>
    </row>
    <row r="88" spans="1:2" s="100" customFormat="1" ht="24">
      <c r="A88" s="211" t="s">
        <v>566</v>
      </c>
      <c r="B88" s="207" t="s">
        <v>334</v>
      </c>
    </row>
    <row r="89" spans="1:2" s="100" customFormat="1" ht="24">
      <c r="A89" s="211"/>
      <c r="B89" s="207" t="s">
        <v>573</v>
      </c>
    </row>
    <row r="90" spans="1:2" s="100" customFormat="1" ht="24">
      <c r="A90" s="211" t="s">
        <v>567</v>
      </c>
      <c r="B90" s="207" t="s">
        <v>181</v>
      </c>
    </row>
    <row r="91" spans="1:2" s="100" customFormat="1" ht="24">
      <c r="A91" s="211"/>
      <c r="B91" s="207" t="s">
        <v>580</v>
      </c>
    </row>
    <row r="92" spans="1:2">
      <c r="A92" s="218"/>
      <c r="B92" s="481"/>
    </row>
    <row r="93" spans="1:2">
      <c r="A93" s="218"/>
      <c r="B93" s="481"/>
    </row>
    <row r="94" spans="1:2">
      <c r="A94" s="218"/>
      <c r="B94" s="481"/>
    </row>
    <row r="95" spans="1:2">
      <c r="A95" s="218"/>
      <c r="B95" s="481"/>
    </row>
    <row r="96" spans="1:2">
      <c r="A96" s="218"/>
      <c r="B96" s="481"/>
    </row>
    <row r="97" spans="1:2">
      <c r="A97" s="218"/>
      <c r="B97" s="481"/>
    </row>
    <row r="98" spans="1:2">
      <c r="A98" s="218"/>
      <c r="B98" s="481"/>
    </row>
    <row r="99" spans="1:2">
      <c r="A99" s="218"/>
      <c r="B99" s="481"/>
    </row>
    <row r="100" spans="1:2">
      <c r="A100" s="218"/>
      <c r="B100" s="481"/>
    </row>
    <row r="101" spans="1:2">
      <c r="A101" s="218"/>
      <c r="B101" s="481"/>
    </row>
    <row r="102" spans="1:2">
      <c r="A102" s="218"/>
      <c r="B102" s="481"/>
    </row>
    <row r="103" spans="1:2">
      <c r="A103" s="218"/>
      <c r="B103" s="481"/>
    </row>
    <row r="104" spans="1:2">
      <c r="A104" s="218"/>
      <c r="B104" s="481"/>
    </row>
    <row r="105" spans="1:2">
      <c r="A105" s="218"/>
      <c r="B105" s="481"/>
    </row>
    <row r="106" spans="1:2">
      <c r="A106" s="218"/>
      <c r="B106" s="481"/>
    </row>
    <row r="107" spans="1:2">
      <c r="A107" s="218"/>
      <c r="B107" s="481"/>
    </row>
    <row r="108" spans="1:2">
      <c r="A108" s="218"/>
      <c r="B108" s="481"/>
    </row>
    <row r="109" spans="1:2">
      <c r="A109" s="218"/>
      <c r="B109" s="481"/>
    </row>
    <row r="110" spans="1:2">
      <c r="A110" s="218"/>
      <c r="B110" s="481"/>
    </row>
    <row r="111" spans="1:2">
      <c r="A111" s="218"/>
      <c r="B111" s="481"/>
    </row>
    <row r="112" spans="1:2">
      <c r="A112" s="218"/>
      <c r="B112" s="481"/>
    </row>
    <row r="113" spans="1:2">
      <c r="A113" s="218"/>
      <c r="B113" s="481"/>
    </row>
    <row r="114" spans="1:2">
      <c r="A114" s="218"/>
      <c r="B114" s="481"/>
    </row>
    <row r="115" spans="1:2">
      <c r="A115" s="218"/>
      <c r="B115" s="481"/>
    </row>
    <row r="116" spans="1:2">
      <c r="A116" s="218"/>
      <c r="B116" s="481"/>
    </row>
    <row r="117" spans="1:2">
      <c r="A117" s="218"/>
      <c r="B117" s="481"/>
    </row>
    <row r="118" spans="1:2">
      <c r="A118" s="218"/>
      <c r="B118" s="481"/>
    </row>
    <row r="119" spans="1:2">
      <c r="A119" s="218"/>
      <c r="B119" s="481"/>
    </row>
    <row r="120" spans="1:2">
      <c r="A120" s="218"/>
      <c r="B120" s="481"/>
    </row>
    <row r="121" spans="1:2">
      <c r="A121" s="218"/>
      <c r="B121" s="481"/>
    </row>
    <row r="122" spans="1:2">
      <c r="A122" s="218"/>
      <c r="B122" s="481"/>
    </row>
    <row r="123" spans="1:2">
      <c r="A123" s="218"/>
      <c r="B123" s="481"/>
    </row>
    <row r="124" spans="1:2">
      <c r="A124" s="218"/>
      <c r="B124" s="481"/>
    </row>
    <row r="125" spans="1:2">
      <c r="A125" s="218"/>
      <c r="B125" s="481"/>
    </row>
    <row r="126" spans="1:2">
      <c r="A126" s="218"/>
      <c r="B126" s="481"/>
    </row>
    <row r="127" spans="1:2">
      <c r="A127" s="218"/>
      <c r="B127" s="481"/>
    </row>
    <row r="128" spans="1:2">
      <c r="A128" s="218"/>
      <c r="B128" s="481"/>
    </row>
    <row r="129" spans="1:2">
      <c r="A129" s="218"/>
      <c r="B129" s="481"/>
    </row>
    <row r="130" spans="1:2">
      <c r="A130" s="218"/>
      <c r="B130" s="481"/>
    </row>
    <row r="131" spans="1:2">
      <c r="A131" s="218"/>
      <c r="B131" s="481"/>
    </row>
    <row r="132" spans="1:2">
      <c r="A132" s="218"/>
      <c r="B132" s="481"/>
    </row>
    <row r="133" spans="1:2">
      <c r="A133" s="218"/>
      <c r="B133" s="481"/>
    </row>
    <row r="134" spans="1:2">
      <c r="A134" s="218"/>
      <c r="B134" s="481"/>
    </row>
    <row r="135" spans="1:2">
      <c r="A135" s="218"/>
      <c r="B135" s="481"/>
    </row>
    <row r="136" spans="1:2">
      <c r="A136" s="218"/>
      <c r="B136" s="481"/>
    </row>
    <row r="137" spans="1:2">
      <c r="A137" s="218"/>
      <c r="B137" s="481"/>
    </row>
    <row r="138" spans="1:2">
      <c r="A138" s="218"/>
      <c r="B138" s="481"/>
    </row>
    <row r="139" spans="1:2">
      <c r="A139" s="218"/>
      <c r="B139" s="481"/>
    </row>
    <row r="140" spans="1:2">
      <c r="A140" s="218"/>
      <c r="B140" s="481"/>
    </row>
    <row r="141" spans="1:2">
      <c r="A141" s="218"/>
      <c r="B141" s="481"/>
    </row>
    <row r="142" spans="1:2">
      <c r="A142" s="218"/>
      <c r="B142" s="481"/>
    </row>
    <row r="143" spans="1:2">
      <c r="A143" s="218"/>
      <c r="B143" s="481"/>
    </row>
    <row r="144" spans="1:2">
      <c r="A144" s="218"/>
      <c r="B144" s="481"/>
    </row>
    <row r="145" spans="1:2">
      <c r="A145" s="218"/>
      <c r="B145" s="481"/>
    </row>
    <row r="146" spans="1:2">
      <c r="A146" s="218"/>
      <c r="B146" s="481"/>
    </row>
    <row r="147" spans="1:2">
      <c r="A147" s="218"/>
      <c r="B147" s="481"/>
    </row>
    <row r="148" spans="1:2">
      <c r="A148" s="218"/>
      <c r="B148" s="481"/>
    </row>
    <row r="149" spans="1:2">
      <c r="A149" s="218"/>
      <c r="B149" s="481"/>
    </row>
    <row r="150" spans="1:2">
      <c r="A150" s="218"/>
      <c r="B150" s="481"/>
    </row>
    <row r="151" spans="1:2">
      <c r="A151" s="218"/>
      <c r="B151" s="481"/>
    </row>
    <row r="152" spans="1:2">
      <c r="A152" s="218"/>
      <c r="B152" s="481"/>
    </row>
    <row r="153" spans="1:2">
      <c r="A153" s="218"/>
      <c r="B153" s="481"/>
    </row>
    <row r="154" spans="1:2">
      <c r="A154" s="218"/>
      <c r="B154" s="481"/>
    </row>
    <row r="155" spans="1:2">
      <c r="A155" s="218"/>
      <c r="B155" s="481"/>
    </row>
    <row r="156" spans="1:2">
      <c r="A156" s="218"/>
      <c r="B156" s="481"/>
    </row>
    <row r="157" spans="1:2">
      <c r="A157" s="218"/>
      <c r="B157" s="481"/>
    </row>
    <row r="158" spans="1:2">
      <c r="A158" s="218"/>
      <c r="B158" s="481"/>
    </row>
    <row r="159" spans="1:2">
      <c r="A159" s="218"/>
      <c r="B159" s="481"/>
    </row>
  </sheetData>
  <pageMargins left="0.42" right="0.15748031496062992" top="0.35" bottom="0.2" header="0.31496062992125984" footer="0.15748031496062992"/>
  <pageSetup scale="71" orientation="portrait" r:id="rId1"/>
  <headerFooter>
    <oddFooter>&amp;C&amp;P</oddFooter>
  </headerFooter>
  <rowBreaks count="1" manualBreakCount="1">
    <brk id="40" max="16383" man="1"/>
  </rowBreaks>
  <colBreaks count="1" manualBreakCount="1">
    <brk id="2" max="154" man="1"/>
  </colBreaks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 enableFormatConditionsCalculation="0">
    <tabColor rgb="FFFFFF00"/>
  </sheetPr>
  <dimension ref="A1:T54"/>
  <sheetViews>
    <sheetView workbookViewId="0">
      <selection activeCell="A44" sqref="A44"/>
    </sheetView>
  </sheetViews>
  <sheetFormatPr defaultRowHeight="24"/>
  <cols>
    <col min="1" max="1" width="68.140625" style="3" customWidth="1"/>
    <col min="2" max="3" width="19.5703125" style="3" customWidth="1"/>
    <col min="4" max="4" width="20.42578125" style="3" customWidth="1"/>
    <col min="5" max="5" width="18.5703125" style="3" customWidth="1"/>
    <col min="6" max="6" width="20.140625" style="3" customWidth="1"/>
    <col min="7" max="7" width="14" style="3" customWidth="1"/>
    <col min="8" max="8" width="11.140625" style="3" bestFit="1" customWidth="1"/>
    <col min="9" max="9" width="16" style="3" customWidth="1"/>
    <col min="10" max="10" width="18.28515625" style="3" customWidth="1"/>
    <col min="11" max="11" width="17.140625" style="3" customWidth="1"/>
    <col min="12" max="12" width="17.28515625" style="3" customWidth="1"/>
    <col min="13" max="13" width="18.42578125" style="3" customWidth="1"/>
    <col min="14" max="14" width="20.42578125" style="3" customWidth="1"/>
    <col min="15" max="15" width="13.140625" style="83" customWidth="1"/>
    <col min="16" max="16" width="10.140625" style="3" customWidth="1"/>
    <col min="17" max="17" width="16.42578125" style="26" customWidth="1"/>
    <col min="18" max="18" width="16" style="26" customWidth="1"/>
    <col min="19" max="20" width="14.5703125" style="26" bestFit="1" customWidth="1"/>
    <col min="21" max="16384" width="9.140625" style="3"/>
  </cols>
  <sheetData>
    <row r="1" spans="1:20" s="2" customFormat="1" ht="27.75">
      <c r="A1" s="583" t="s">
        <v>177</v>
      </c>
      <c r="B1" s="583"/>
      <c r="C1" s="583"/>
      <c r="D1" s="583"/>
      <c r="E1" s="583"/>
      <c r="F1" s="583"/>
      <c r="G1" s="583"/>
      <c r="H1" s="583"/>
      <c r="I1" s="583"/>
      <c r="J1" s="583"/>
      <c r="K1" s="583"/>
      <c r="L1" s="583"/>
      <c r="M1" s="583"/>
      <c r="N1" s="583"/>
      <c r="O1" s="583"/>
      <c r="P1" s="583"/>
      <c r="Q1" s="583"/>
      <c r="R1" s="583"/>
      <c r="S1" s="583"/>
      <c r="T1" s="583"/>
    </row>
    <row r="2" spans="1:20" s="2" customFormat="1" ht="24" customHeight="1">
      <c r="A2" s="583" t="s">
        <v>253</v>
      </c>
      <c r="B2" s="583"/>
      <c r="C2" s="583"/>
      <c r="D2" s="583"/>
      <c r="E2" s="583"/>
      <c r="F2" s="583"/>
      <c r="G2" s="583"/>
      <c r="H2" s="583"/>
      <c r="I2" s="583"/>
      <c r="J2" s="583"/>
      <c r="K2" s="583"/>
      <c r="L2" s="583"/>
      <c r="M2" s="583"/>
      <c r="N2" s="583"/>
      <c r="O2" s="583"/>
      <c r="P2" s="583"/>
      <c r="Q2" s="583"/>
      <c r="R2" s="583"/>
      <c r="S2" s="583"/>
      <c r="T2" s="583"/>
    </row>
    <row r="3" spans="1:20" s="2" customFormat="1" ht="24" customHeight="1">
      <c r="A3" s="583" t="s">
        <v>277</v>
      </c>
      <c r="B3" s="583"/>
      <c r="C3" s="583"/>
      <c r="D3" s="583"/>
      <c r="E3" s="583"/>
      <c r="F3" s="583"/>
      <c r="G3" s="583"/>
      <c r="H3" s="583"/>
      <c r="I3" s="583"/>
      <c r="J3" s="583"/>
      <c r="K3" s="583"/>
      <c r="L3" s="583"/>
      <c r="M3" s="583"/>
      <c r="N3" s="583"/>
      <c r="O3" s="583"/>
      <c r="P3" s="583"/>
      <c r="Q3" s="583"/>
      <c r="R3" s="583"/>
      <c r="S3" s="583"/>
      <c r="T3" s="583"/>
    </row>
    <row r="4" spans="1:20" s="2" customFormat="1" ht="27.75">
      <c r="A4" s="604" t="s">
        <v>280</v>
      </c>
      <c r="B4" s="604"/>
      <c r="C4" s="604"/>
      <c r="D4" s="604"/>
      <c r="E4" s="604"/>
      <c r="F4" s="604"/>
      <c r="G4" s="604"/>
      <c r="H4" s="604"/>
      <c r="I4" s="604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</row>
    <row r="5" spans="1:20" s="2" customFormat="1" ht="27" customHeight="1">
      <c r="O5" s="259"/>
      <c r="Q5" s="1"/>
      <c r="R5" s="1"/>
      <c r="S5" s="1"/>
      <c r="T5" s="1"/>
    </row>
    <row r="6" spans="1:20" s="2" customFormat="1" ht="27.75">
      <c r="A6" s="229" t="s">
        <v>138</v>
      </c>
      <c r="O6" s="259"/>
      <c r="Q6" s="1"/>
      <c r="R6" s="1"/>
      <c r="S6" s="1"/>
      <c r="T6" s="1"/>
    </row>
    <row r="7" spans="1:20" s="8" customFormat="1">
      <c r="A7" s="14"/>
      <c r="O7" s="73"/>
      <c r="Q7" s="21"/>
      <c r="R7" s="21"/>
      <c r="S7" s="21"/>
      <c r="T7" s="26"/>
    </row>
    <row r="8" spans="1:20" s="194" customFormat="1" ht="30.75">
      <c r="A8" s="598" t="s">
        <v>259</v>
      </c>
      <c r="B8" s="599"/>
      <c r="C8" s="599"/>
      <c r="D8" s="599"/>
      <c r="E8" s="599"/>
      <c r="F8" s="599"/>
      <c r="G8" s="599"/>
      <c r="H8" s="599"/>
      <c r="I8" s="600"/>
      <c r="J8" s="599" t="s">
        <v>281</v>
      </c>
      <c r="K8" s="599"/>
      <c r="L8" s="599"/>
      <c r="M8" s="599"/>
      <c r="N8" s="599"/>
      <c r="O8" s="599"/>
      <c r="P8" s="599"/>
      <c r="Q8" s="600"/>
      <c r="R8" s="601" t="s">
        <v>86</v>
      </c>
      <c r="S8" s="602"/>
      <c r="T8" s="603"/>
    </row>
    <row r="9" spans="1:20" s="85" customFormat="1">
      <c r="A9" s="84" t="s">
        <v>76</v>
      </c>
      <c r="B9" s="84" t="s">
        <v>78</v>
      </c>
      <c r="C9" s="84" t="s">
        <v>80</v>
      </c>
      <c r="D9" s="84" t="s">
        <v>46</v>
      </c>
      <c r="E9" s="84" t="s">
        <v>81</v>
      </c>
      <c r="F9" s="84" t="s">
        <v>77</v>
      </c>
      <c r="G9" s="84" t="s">
        <v>63</v>
      </c>
      <c r="H9" s="84" t="s">
        <v>83</v>
      </c>
      <c r="I9" s="84" t="s">
        <v>77</v>
      </c>
      <c r="J9" s="84" t="s">
        <v>78</v>
      </c>
      <c r="K9" s="84" t="s">
        <v>80</v>
      </c>
      <c r="L9" s="84" t="s">
        <v>46</v>
      </c>
      <c r="M9" s="84" t="s">
        <v>81</v>
      </c>
      <c r="N9" s="84" t="s">
        <v>77</v>
      </c>
      <c r="O9" s="78" t="s">
        <v>63</v>
      </c>
      <c r="P9" s="84" t="s">
        <v>83</v>
      </c>
      <c r="Q9" s="22" t="s">
        <v>77</v>
      </c>
      <c r="R9" s="22" t="s">
        <v>77</v>
      </c>
      <c r="S9" s="22" t="s">
        <v>83</v>
      </c>
      <c r="T9" s="22" t="s">
        <v>77</v>
      </c>
    </row>
    <row r="10" spans="1:20" s="85" customFormat="1">
      <c r="A10" s="86"/>
      <c r="B10" s="86" t="s">
        <v>79</v>
      </c>
      <c r="C10" s="86" t="s">
        <v>79</v>
      </c>
      <c r="D10" s="86"/>
      <c r="E10" s="86" t="s">
        <v>82</v>
      </c>
      <c r="F10" s="86" t="s">
        <v>47</v>
      </c>
      <c r="G10" s="86"/>
      <c r="H10" s="86" t="s">
        <v>84</v>
      </c>
      <c r="I10" s="86" t="s">
        <v>85</v>
      </c>
      <c r="J10" s="86" t="s">
        <v>79</v>
      </c>
      <c r="K10" s="86" t="s">
        <v>79</v>
      </c>
      <c r="L10" s="86"/>
      <c r="M10" s="86" t="s">
        <v>82</v>
      </c>
      <c r="N10" s="86" t="s">
        <v>47</v>
      </c>
      <c r="O10" s="87"/>
      <c r="P10" s="86" t="s">
        <v>84</v>
      </c>
      <c r="Q10" s="23" t="s">
        <v>85</v>
      </c>
      <c r="R10" s="23" t="s">
        <v>47</v>
      </c>
      <c r="S10" s="23" t="s">
        <v>84</v>
      </c>
      <c r="T10" s="23" t="s">
        <v>85</v>
      </c>
    </row>
    <row r="11" spans="1:20" s="85" customFormat="1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7"/>
      <c r="P11" s="86"/>
      <c r="Q11" s="23"/>
      <c r="R11" s="23" t="s">
        <v>87</v>
      </c>
      <c r="S11" s="23" t="s">
        <v>87</v>
      </c>
      <c r="T11" s="23" t="s">
        <v>87</v>
      </c>
    </row>
    <row r="12" spans="1:20" s="85" customFormat="1">
      <c r="A12" s="86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9"/>
      <c r="O12" s="87"/>
      <c r="P12" s="86"/>
      <c r="Q12" s="23"/>
      <c r="R12" s="23" t="s">
        <v>88</v>
      </c>
      <c r="S12" s="23" t="s">
        <v>88</v>
      </c>
      <c r="T12" s="23" t="s">
        <v>88</v>
      </c>
    </row>
    <row r="13" spans="1:20" s="85" customFormat="1">
      <c r="A13" s="86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9"/>
      <c r="O13" s="87"/>
      <c r="P13" s="86"/>
      <c r="Q13" s="23"/>
      <c r="R13" s="23"/>
      <c r="S13" s="23"/>
      <c r="T13" s="88"/>
    </row>
    <row r="14" spans="1:20" s="85" customFormat="1" ht="21" customHeight="1">
      <c r="A14" s="84" t="s">
        <v>149</v>
      </c>
      <c r="B14" s="84" t="s">
        <v>150</v>
      </c>
      <c r="C14" s="84" t="s">
        <v>151</v>
      </c>
      <c r="D14" s="84" t="s">
        <v>152</v>
      </c>
      <c r="E14" s="84" t="s">
        <v>174</v>
      </c>
      <c r="F14" s="84" t="s">
        <v>119</v>
      </c>
      <c r="G14" s="84" t="s">
        <v>154</v>
      </c>
      <c r="H14" s="84" t="s">
        <v>155</v>
      </c>
      <c r="I14" s="84" t="s">
        <v>120</v>
      </c>
      <c r="J14" s="84" t="s">
        <v>121</v>
      </c>
      <c r="K14" s="84" t="s">
        <v>122</v>
      </c>
      <c r="L14" s="84" t="s">
        <v>158</v>
      </c>
      <c r="M14" s="84" t="s">
        <v>159</v>
      </c>
      <c r="N14" s="84" t="s">
        <v>12</v>
      </c>
      <c r="O14" s="78" t="s">
        <v>161</v>
      </c>
      <c r="P14" s="84" t="s">
        <v>123</v>
      </c>
      <c r="Q14" s="22" t="s">
        <v>124</v>
      </c>
      <c r="R14" s="22" t="s">
        <v>17</v>
      </c>
      <c r="S14" s="22" t="s">
        <v>15</v>
      </c>
      <c r="T14" s="22" t="s">
        <v>13</v>
      </c>
    </row>
    <row r="15" spans="1:20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82"/>
      <c r="P15" s="90"/>
      <c r="Q15" s="70"/>
      <c r="R15" s="91" t="s">
        <v>18</v>
      </c>
      <c r="S15" s="91" t="s">
        <v>16</v>
      </c>
      <c r="T15" s="91" t="s">
        <v>14</v>
      </c>
    </row>
    <row r="16" spans="1:20">
      <c r="A16" s="512" t="s">
        <v>351</v>
      </c>
      <c r="B16" s="298">
        <v>0</v>
      </c>
      <c r="C16" s="298">
        <v>0</v>
      </c>
      <c r="D16" s="298">
        <v>0</v>
      </c>
      <c r="E16" s="298">
        <v>0</v>
      </c>
      <c r="F16" s="312">
        <v>0</v>
      </c>
      <c r="G16" s="513">
        <v>0</v>
      </c>
      <c r="H16" s="513">
        <v>0</v>
      </c>
      <c r="I16" s="298">
        <v>0</v>
      </c>
      <c r="J16" s="312">
        <f>+'ตารางที่ 4 ส่ง'!B8</f>
        <v>2053058.1349900002</v>
      </c>
      <c r="K16" s="312">
        <f>+'ตารางที่ 4 ส่ง'!C8</f>
        <v>14900.172280000001</v>
      </c>
      <c r="L16" s="312">
        <f>+'ตารางที่ 4 ส่ง'!D8</f>
        <v>99371.411750000014</v>
      </c>
      <c r="M16" s="312">
        <f>+'ตารางที่ 4 ส่ง'!E8</f>
        <v>242606.05105000004</v>
      </c>
      <c r="N16" s="312">
        <f t="shared" ref="N16" si="0">SUM(J16:M16)</f>
        <v>2409935.7700700001</v>
      </c>
      <c r="O16" s="139">
        <v>589</v>
      </c>
      <c r="P16" s="308" t="s">
        <v>68</v>
      </c>
      <c r="Q16" s="312">
        <f t="shared" ref="Q16" si="1">+N16/O16</f>
        <v>4091.5717658234298</v>
      </c>
      <c r="R16" s="336">
        <v>100</v>
      </c>
      <c r="S16" s="336">
        <v>100</v>
      </c>
      <c r="T16" s="456">
        <v>100</v>
      </c>
    </row>
    <row r="17" spans="1:20">
      <c r="A17" s="504" t="s">
        <v>501</v>
      </c>
      <c r="B17" s="64"/>
      <c r="C17" s="64"/>
      <c r="D17" s="64"/>
      <c r="E17" s="64"/>
      <c r="F17" s="322"/>
      <c r="G17" s="429"/>
      <c r="H17" s="429"/>
      <c r="I17" s="64"/>
      <c r="J17" s="322"/>
      <c r="K17" s="322"/>
      <c r="L17" s="322"/>
      <c r="M17" s="322"/>
      <c r="N17" s="322"/>
      <c r="O17" s="144"/>
      <c r="P17" s="310"/>
      <c r="Q17" s="322"/>
      <c r="R17" s="188"/>
      <c r="S17" s="514"/>
      <c r="T17" s="515"/>
    </row>
    <row r="18" spans="1:20">
      <c r="A18" s="419" t="s">
        <v>352</v>
      </c>
      <c r="B18" s="289">
        <v>156509304.78358799</v>
      </c>
      <c r="C18" s="289">
        <v>1658654.2108000002</v>
      </c>
      <c r="D18" s="289">
        <v>10079571.233608</v>
      </c>
      <c r="E18" s="289">
        <v>19096180.939164001</v>
      </c>
      <c r="F18" s="307">
        <f t="shared" ref="F18:F32" si="2">SUM(B18:E18)</f>
        <v>187343711.16716</v>
      </c>
      <c r="G18" s="139">
        <v>35454</v>
      </c>
      <c r="H18" s="308" t="s">
        <v>68</v>
      </c>
      <c r="I18" s="289">
        <f t="shared" ref="I18:I32" si="3">SUM(F18/G18)</f>
        <v>5284.1346862740456</v>
      </c>
      <c r="J18" s="312">
        <f>+'ตารางที่ 4 ส่ง'!B10</f>
        <v>461732774.55925095</v>
      </c>
      <c r="K18" s="312">
        <f>+'ตารางที่ 4 ส่ง'!C10</f>
        <v>3351048.7457719995</v>
      </c>
      <c r="L18" s="312">
        <f>+'ตารางที่ 4 ส่ง'!D10</f>
        <v>22348630.502574995</v>
      </c>
      <c r="M18" s="312">
        <f>+'ตารางที่ 4 ส่ง'!E10</f>
        <v>54562100.881145</v>
      </c>
      <c r="N18" s="312">
        <f t="shared" ref="N18:N32" si="4">SUM(J18:M18)</f>
        <v>541994554.68874288</v>
      </c>
      <c r="O18" s="420">
        <v>149401</v>
      </c>
      <c r="P18" s="421" t="s">
        <v>68</v>
      </c>
      <c r="Q18" s="312">
        <f t="shared" ref="Q18:Q28" si="5">+N18/O18</f>
        <v>3627.7839819595779</v>
      </c>
      <c r="R18" s="333">
        <f>SUM((N18-F18)*100/F18)</f>
        <v>189.30490984303219</v>
      </c>
      <c r="S18" s="333">
        <f>SUM((O18-G18)*100/G18)</f>
        <v>321.39391888080331</v>
      </c>
      <c r="T18" s="538">
        <f>SUM((Q18-I18)*100/I18)</f>
        <v>-31.345732133152637</v>
      </c>
    </row>
    <row r="19" spans="1:20">
      <c r="A19" s="414" t="s">
        <v>353</v>
      </c>
      <c r="B19" s="411">
        <v>29891262.072402</v>
      </c>
      <c r="C19" s="411">
        <v>316781.59820000001</v>
      </c>
      <c r="D19" s="411">
        <v>1925068.3257319999</v>
      </c>
      <c r="E19" s="411">
        <v>3647124.6858060001</v>
      </c>
      <c r="F19" s="319">
        <f t="shared" si="2"/>
        <v>35780236.68214</v>
      </c>
      <c r="G19" s="431">
        <v>1586</v>
      </c>
      <c r="H19" s="422" t="s">
        <v>68</v>
      </c>
      <c r="I19" s="411">
        <f t="shared" si="3"/>
        <v>22560.048349394703</v>
      </c>
      <c r="J19" s="312">
        <f>+'ตารางที่ 4 ส่ง'!B11</f>
        <v>84791300.975086987</v>
      </c>
      <c r="K19" s="312">
        <f>+'ตารางที่ 4 ส่ง'!C11</f>
        <v>615377.11516399996</v>
      </c>
      <c r="L19" s="312">
        <f>+'ตารางที่ 4 ส่ง'!D11</f>
        <v>4104039.3052749997</v>
      </c>
      <c r="M19" s="312">
        <f>+'ตารางที่ 4 ส่ง'!E11</f>
        <v>10019629.908365</v>
      </c>
      <c r="N19" s="312">
        <f t="shared" si="4"/>
        <v>99530347.303890973</v>
      </c>
      <c r="O19" s="423">
        <v>2210</v>
      </c>
      <c r="P19" s="425" t="s">
        <v>68</v>
      </c>
      <c r="Q19" s="319">
        <f t="shared" si="5"/>
        <v>45036.356246104515</v>
      </c>
      <c r="R19" s="333">
        <f t="shared" ref="R19:R34" si="6">SUM((N19-F19)*100/F19)</f>
        <v>178.17129380134136</v>
      </c>
      <c r="S19" s="333">
        <f t="shared" ref="S19:S34" si="7">SUM((O19-G19)*100/G19)</f>
        <v>39.344262295081968</v>
      </c>
      <c r="T19" s="457">
        <f t="shared" ref="T19:T34" si="8">SUM((Q19-I19)*100/I19)</f>
        <v>99.628810845668511</v>
      </c>
    </row>
    <row r="20" spans="1:20">
      <c r="A20" s="410" t="s">
        <v>354</v>
      </c>
      <c r="B20" s="297">
        <v>0</v>
      </c>
      <c r="C20" s="297">
        <v>0</v>
      </c>
      <c r="D20" s="297">
        <v>0</v>
      </c>
      <c r="E20" s="297">
        <v>0</v>
      </c>
      <c r="F20" s="319">
        <v>0</v>
      </c>
      <c r="G20" s="507">
        <v>0</v>
      </c>
      <c r="H20" s="507">
        <v>0</v>
      </c>
      <c r="I20" s="297">
        <v>0</v>
      </c>
      <c r="J20" s="312">
        <f>+'ตารางที่ 4 ส่ง'!B12</f>
        <v>12318348.809939999</v>
      </c>
      <c r="K20" s="312">
        <f>+'ตารางที่ 4 ส่ง'!C12</f>
        <v>89401.033679999993</v>
      </c>
      <c r="L20" s="312">
        <f>+'ตารางที่ 4 ส่ง'!D12</f>
        <v>596228.47049999994</v>
      </c>
      <c r="M20" s="312">
        <f>+'ตารางที่ 4 ส่ง'!E12</f>
        <v>1455636.3063000001</v>
      </c>
      <c r="N20" s="319">
        <f t="shared" ref="N20:N23" si="9">SUM(J20:M20)</f>
        <v>14459614.620419998</v>
      </c>
      <c r="O20" s="436">
        <v>3604</v>
      </c>
      <c r="P20" s="508" t="s">
        <v>68</v>
      </c>
      <c r="Q20" s="319">
        <f t="shared" si="5"/>
        <v>4012.1017259766918</v>
      </c>
      <c r="R20" s="336">
        <v>100</v>
      </c>
      <c r="S20" s="333">
        <v>100</v>
      </c>
      <c r="T20" s="456">
        <v>100</v>
      </c>
    </row>
    <row r="21" spans="1:20">
      <c r="A21" s="410" t="s">
        <v>367</v>
      </c>
      <c r="B21" s="297">
        <v>0</v>
      </c>
      <c r="C21" s="297">
        <v>0</v>
      </c>
      <c r="D21" s="297">
        <v>0</v>
      </c>
      <c r="E21" s="297">
        <v>0</v>
      </c>
      <c r="F21" s="319">
        <v>0</v>
      </c>
      <c r="G21" s="507">
        <v>0</v>
      </c>
      <c r="H21" s="507">
        <v>0</v>
      </c>
      <c r="I21" s="297">
        <v>0</v>
      </c>
      <c r="J21" s="312">
        <f>+'ตารางที่ 4 ส่ง'!B13</f>
        <v>2668975.5754869999</v>
      </c>
      <c r="K21" s="312">
        <f>+'ตารางที่ 4 ส่ง'!C13</f>
        <v>19370.223964000001</v>
      </c>
      <c r="L21" s="312">
        <f>+'ตารางที่ 4 ส่ง'!D13</f>
        <v>129182.835275</v>
      </c>
      <c r="M21" s="312">
        <f>+'ตารางที่ 4 ส่ง'!E13</f>
        <v>315387.86636500002</v>
      </c>
      <c r="N21" s="319">
        <f t="shared" si="9"/>
        <v>3132916.5010910002</v>
      </c>
      <c r="O21" s="436">
        <v>59</v>
      </c>
      <c r="P21" s="508" t="s">
        <v>68</v>
      </c>
      <c r="Q21" s="319">
        <f t="shared" si="5"/>
        <v>53100.27967950848</v>
      </c>
      <c r="R21" s="336">
        <v>100</v>
      </c>
      <c r="S21" s="333">
        <v>100</v>
      </c>
      <c r="T21" s="456">
        <v>100</v>
      </c>
    </row>
    <row r="22" spans="1:20">
      <c r="A22" s="410" t="s">
        <v>356</v>
      </c>
      <c r="B22" s="297">
        <v>0</v>
      </c>
      <c r="C22" s="297">
        <v>0</v>
      </c>
      <c r="D22" s="297">
        <v>0</v>
      </c>
      <c r="E22" s="297">
        <v>0</v>
      </c>
      <c r="F22" s="319">
        <v>0</v>
      </c>
      <c r="G22" s="507">
        <v>0</v>
      </c>
      <c r="H22" s="507">
        <v>0</v>
      </c>
      <c r="I22" s="297">
        <v>0</v>
      </c>
      <c r="J22" s="312">
        <f>+'ตารางที่ 4 ส่ง'!B15</f>
        <v>11702431.369442999</v>
      </c>
      <c r="K22" s="312">
        <f>+'ตารางที่ 4 ส่ง'!C15</f>
        <v>84930.981995999988</v>
      </c>
      <c r="L22" s="312">
        <f>+'ตารางที่ 4 ส่ง'!D15</f>
        <v>566417.04697499995</v>
      </c>
      <c r="M22" s="312">
        <f>+'ตารางที่ 4 ส่ง'!E15</f>
        <v>1382854.4909849998</v>
      </c>
      <c r="N22" s="319">
        <f t="shared" si="9"/>
        <v>13736633.889399</v>
      </c>
      <c r="O22" s="436">
        <v>9592</v>
      </c>
      <c r="P22" s="508" t="s">
        <v>68</v>
      </c>
      <c r="Q22" s="319">
        <f t="shared" si="5"/>
        <v>1432.092774124166</v>
      </c>
      <c r="R22" s="336">
        <v>100</v>
      </c>
      <c r="S22" s="333">
        <v>100</v>
      </c>
      <c r="T22" s="456">
        <v>100</v>
      </c>
    </row>
    <row r="23" spans="1:20">
      <c r="A23" s="410" t="s">
        <v>368</v>
      </c>
      <c r="B23" s="297">
        <v>0</v>
      </c>
      <c r="C23" s="297">
        <v>0</v>
      </c>
      <c r="D23" s="297">
        <v>0</v>
      </c>
      <c r="E23" s="297">
        <v>0</v>
      </c>
      <c r="F23" s="319">
        <v>0</v>
      </c>
      <c r="G23" s="507">
        <v>0</v>
      </c>
      <c r="H23" s="507">
        <v>0</v>
      </c>
      <c r="I23" s="297">
        <v>0</v>
      </c>
      <c r="J23" s="312">
        <f>+'ตารางที่ 4 ส่ง'!B16</f>
        <v>3695504.642982</v>
      </c>
      <c r="K23" s="312">
        <f>+'ตารางที่ 4 ส่ง'!C16</f>
        <v>26820.310103999996</v>
      </c>
      <c r="L23" s="312">
        <f>+'ตารางที่ 4 ส่ง'!D16</f>
        <v>178868.54114999998</v>
      </c>
      <c r="M23" s="312">
        <f>+'ตารางที่ 4 ส่ง'!E16</f>
        <v>436690.89189000003</v>
      </c>
      <c r="N23" s="319">
        <f t="shared" si="9"/>
        <v>4337884.3861259995</v>
      </c>
      <c r="O23" s="436">
        <v>87</v>
      </c>
      <c r="P23" s="508" t="s">
        <v>282</v>
      </c>
      <c r="Q23" s="319">
        <f t="shared" si="5"/>
        <v>49860.740070413791</v>
      </c>
      <c r="R23" s="336">
        <v>100</v>
      </c>
      <c r="S23" s="333">
        <v>100</v>
      </c>
      <c r="T23" s="456">
        <v>100</v>
      </c>
    </row>
    <row r="24" spans="1:20">
      <c r="A24" s="424" t="s">
        <v>358</v>
      </c>
      <c r="B24" s="313">
        <v>210918118.89290401</v>
      </c>
      <c r="C24" s="313">
        <v>2235267.9064000002</v>
      </c>
      <c r="D24" s="313">
        <v>13583628.186063999</v>
      </c>
      <c r="E24" s="313">
        <v>25734767.445912004</v>
      </c>
      <c r="F24" s="319">
        <f t="shared" si="2"/>
        <v>252471782.43128002</v>
      </c>
      <c r="G24" s="143">
        <v>128332</v>
      </c>
      <c r="H24" s="413" t="s">
        <v>68</v>
      </c>
      <c r="I24" s="313">
        <f t="shared" si="3"/>
        <v>1967.3330301973008</v>
      </c>
      <c r="J24" s="312">
        <f>+'ตารางที่ 4 ส่ง'!B18</f>
        <v>70214588.216657996</v>
      </c>
      <c r="K24" s="312">
        <f>+'ตารางที่ 4 ส่ง'!C18</f>
        <v>509585.89197599998</v>
      </c>
      <c r="L24" s="312">
        <f>+'ตารางที่ 4 ส่ง'!D18</f>
        <v>3398502.2818499999</v>
      </c>
      <c r="M24" s="312">
        <f>+'ตารางที่ 4 ส่ง'!E18</f>
        <v>8297126.9459100012</v>
      </c>
      <c r="N24" s="312">
        <f t="shared" si="4"/>
        <v>82419803.336393997</v>
      </c>
      <c r="O24" s="145">
        <v>260</v>
      </c>
      <c r="P24" s="426" t="s">
        <v>282</v>
      </c>
      <c r="Q24" s="314">
        <f t="shared" si="5"/>
        <v>316999.24360151537</v>
      </c>
      <c r="R24" s="538">
        <f t="shared" si="6"/>
        <v>-67.354845542460666</v>
      </c>
      <c r="S24" s="538">
        <f t="shared" si="7"/>
        <v>-99.797400492472647</v>
      </c>
      <c r="T24" s="457">
        <f t="shared" si="8"/>
        <v>16013.146007095909</v>
      </c>
    </row>
    <row r="25" spans="1:20" s="8" customFormat="1">
      <c r="A25" s="427" t="s">
        <v>359</v>
      </c>
      <c r="B25" s="68">
        <v>135686178.396072</v>
      </c>
      <c r="C25" s="68">
        <v>1437974.8952000001</v>
      </c>
      <c r="D25" s="68">
        <v>8738512.399952</v>
      </c>
      <c r="E25" s="68">
        <v>16555487.337816</v>
      </c>
      <c r="F25" s="319">
        <f t="shared" si="2"/>
        <v>162418153.02904001</v>
      </c>
      <c r="G25" s="320">
        <v>12553</v>
      </c>
      <c r="H25" s="69" t="s">
        <v>68</v>
      </c>
      <c r="I25" s="297">
        <f t="shared" si="3"/>
        <v>12938.59260965825</v>
      </c>
      <c r="J25" s="312">
        <f>+'ตารางที่ 4 ส่ง'!B19</f>
        <v>139607953.17931998</v>
      </c>
      <c r="K25" s="312">
        <f>+'ตารางที่ 4 ส่ง'!C19</f>
        <v>1013211.7150399999</v>
      </c>
      <c r="L25" s="312">
        <f>+'ตารางที่ 4 ส่ง'!D19</f>
        <v>6757255.9989999998</v>
      </c>
      <c r="M25" s="312">
        <f>+'ตารางที่ 4 ส่ง'!E19</f>
        <v>16497211.4714</v>
      </c>
      <c r="N25" s="312">
        <f t="shared" si="4"/>
        <v>163875632.36475998</v>
      </c>
      <c r="O25" s="420">
        <v>10324</v>
      </c>
      <c r="P25" s="421" t="s">
        <v>68</v>
      </c>
      <c r="Q25" s="312">
        <f t="shared" si="5"/>
        <v>15873.269310805887</v>
      </c>
      <c r="R25" s="333">
        <f t="shared" si="6"/>
        <v>0.89736233822298095</v>
      </c>
      <c r="S25" s="538">
        <f t="shared" si="7"/>
        <v>-17.756711543057435</v>
      </c>
      <c r="T25" s="457">
        <f t="shared" si="8"/>
        <v>22.681575884513077</v>
      </c>
    </row>
    <row r="26" spans="1:20">
      <c r="A26" s="427" t="s">
        <v>360</v>
      </c>
      <c r="B26" s="68">
        <v>70865801.092997983</v>
      </c>
      <c r="C26" s="68">
        <v>751021.54179999989</v>
      </c>
      <c r="D26" s="68">
        <v>4563926.0306679998</v>
      </c>
      <c r="E26" s="68">
        <v>8646554.0303939991</v>
      </c>
      <c r="F26" s="319">
        <f t="shared" si="2"/>
        <v>84827302.695859998</v>
      </c>
      <c r="G26" s="320">
        <v>2288</v>
      </c>
      <c r="H26" s="69" t="s">
        <v>68</v>
      </c>
      <c r="I26" s="297">
        <f t="shared" si="3"/>
        <v>37074.870059379369</v>
      </c>
      <c r="J26" s="312">
        <f>+'ตารางที่ 4 ส่ง'!B20</f>
        <v>79658655.637612</v>
      </c>
      <c r="K26" s="312">
        <f>+'ตารางที่ 4 ส่ง'!C20</f>
        <v>578126.68446399993</v>
      </c>
      <c r="L26" s="312">
        <f>+'ตารางที่ 4 ส่ง'!D20</f>
        <v>3855610.7758999998</v>
      </c>
      <c r="M26" s="312">
        <f>+'ตารางที่ 4 ส่ง'!E20</f>
        <v>9413114.7807400003</v>
      </c>
      <c r="N26" s="312">
        <f t="shared" si="4"/>
        <v>93505507.878715992</v>
      </c>
      <c r="O26" s="420">
        <v>2273</v>
      </c>
      <c r="P26" s="421" t="s">
        <v>68</v>
      </c>
      <c r="Q26" s="312">
        <f t="shared" si="5"/>
        <v>41137.486968198849</v>
      </c>
      <c r="R26" s="333">
        <f t="shared" si="6"/>
        <v>10.23043867606029</v>
      </c>
      <c r="S26" s="538">
        <f t="shared" si="7"/>
        <v>-0.65559440559440563</v>
      </c>
      <c r="T26" s="457">
        <f t="shared" si="8"/>
        <v>10.957872279289893</v>
      </c>
    </row>
    <row r="27" spans="1:20">
      <c r="A27" s="424" t="s">
        <v>369</v>
      </c>
      <c r="B27" s="20">
        <v>308316613.28612399</v>
      </c>
      <c r="C27" s="20">
        <v>3267477.6083999998</v>
      </c>
      <c r="D27" s="20">
        <v>19856322.730583999</v>
      </c>
      <c r="E27" s="20">
        <v>37618656.871571995</v>
      </c>
      <c r="F27" s="314">
        <f t="shared" si="2"/>
        <v>369059070.49668002</v>
      </c>
      <c r="G27" s="317">
        <v>3035</v>
      </c>
      <c r="H27" s="330" t="s">
        <v>68</v>
      </c>
      <c r="I27" s="71">
        <f t="shared" si="3"/>
        <v>121601.01169577596</v>
      </c>
      <c r="J27" s="312">
        <v>0</v>
      </c>
      <c r="K27" s="312">
        <v>0</v>
      </c>
      <c r="L27" s="312">
        <v>0</v>
      </c>
      <c r="M27" s="312">
        <v>0</v>
      </c>
      <c r="N27" s="312">
        <f t="shared" si="4"/>
        <v>0</v>
      </c>
      <c r="O27" s="420">
        <v>0</v>
      </c>
      <c r="P27" s="421" t="s">
        <v>303</v>
      </c>
      <c r="Q27" s="312">
        <v>0</v>
      </c>
      <c r="R27" s="538">
        <f t="shared" si="6"/>
        <v>-99.999999999999986</v>
      </c>
      <c r="S27" s="538">
        <f t="shared" si="7"/>
        <v>-100</v>
      </c>
      <c r="T27" s="538">
        <f t="shared" si="8"/>
        <v>-100</v>
      </c>
    </row>
    <row r="28" spans="1:20" s="8" customFormat="1">
      <c r="A28" s="427" t="s">
        <v>370</v>
      </c>
      <c r="B28" s="68">
        <v>147441169.09870198</v>
      </c>
      <c r="C28" s="68">
        <v>1562551.9282</v>
      </c>
      <c r="D28" s="68">
        <v>9495561.7415319998</v>
      </c>
      <c r="E28" s="68">
        <v>17989749.854706001</v>
      </c>
      <c r="F28" s="319">
        <f t="shared" si="2"/>
        <v>176489032.62313998</v>
      </c>
      <c r="G28" s="320">
        <v>42990</v>
      </c>
      <c r="H28" s="69" t="s">
        <v>68</v>
      </c>
      <c r="I28" s="297">
        <f t="shared" si="3"/>
        <v>4105.3508402684338</v>
      </c>
      <c r="J28" s="312">
        <f>+'ตารางที่ 4 ส่ง'!B21</f>
        <v>164039344.98570099</v>
      </c>
      <c r="K28" s="312">
        <f>+'ตารางที่ 4 ส่ง'!C21</f>
        <v>1190523.765172</v>
      </c>
      <c r="L28" s="312">
        <f>+'ตารางที่ 4 ส่ง'!D21</f>
        <v>7939775.7988250004</v>
      </c>
      <c r="M28" s="312">
        <f>+'ตารางที่ 4 ส่ง'!E21</f>
        <v>19384223.478895001</v>
      </c>
      <c r="N28" s="312">
        <f t="shared" si="4"/>
        <v>192553868.028593</v>
      </c>
      <c r="O28" s="420">
        <v>44001</v>
      </c>
      <c r="P28" s="421" t="s">
        <v>68</v>
      </c>
      <c r="Q28" s="312">
        <f t="shared" si="5"/>
        <v>4376.1248159949319</v>
      </c>
      <c r="R28" s="333">
        <f t="shared" si="6"/>
        <v>9.1024553575272531</v>
      </c>
      <c r="S28" s="333">
        <f t="shared" si="7"/>
        <v>2.3517096999302165</v>
      </c>
      <c r="T28" s="457">
        <f t="shared" si="8"/>
        <v>6.5956354587417714</v>
      </c>
    </row>
    <row r="29" spans="1:20" s="8" customFormat="1">
      <c r="A29" s="427" t="s">
        <v>371</v>
      </c>
      <c r="B29" s="63">
        <v>383884410.66017395</v>
      </c>
      <c r="C29" s="63">
        <v>4068329.9633999998</v>
      </c>
      <c r="D29" s="63">
        <v>24723068.497883998</v>
      </c>
      <c r="E29" s="63">
        <v>46838915.908721998</v>
      </c>
      <c r="F29" s="319">
        <f t="shared" si="2"/>
        <v>459514725.03017992</v>
      </c>
      <c r="G29" s="318">
        <v>12698</v>
      </c>
      <c r="H29" s="67" t="s">
        <v>68</v>
      </c>
      <c r="I29" s="64">
        <f t="shared" si="3"/>
        <v>36187.960704849575</v>
      </c>
      <c r="J29" s="312">
        <v>0</v>
      </c>
      <c r="K29" s="312">
        <v>0</v>
      </c>
      <c r="L29" s="312">
        <v>0</v>
      </c>
      <c r="M29" s="312">
        <v>0</v>
      </c>
      <c r="N29" s="312">
        <f t="shared" si="4"/>
        <v>0</v>
      </c>
      <c r="O29" s="420">
        <v>0</v>
      </c>
      <c r="P29" s="421" t="s">
        <v>303</v>
      </c>
      <c r="Q29" s="312">
        <v>0</v>
      </c>
      <c r="R29" s="538">
        <f t="shared" si="6"/>
        <v>-100</v>
      </c>
      <c r="S29" s="538">
        <f t="shared" si="7"/>
        <v>-100</v>
      </c>
      <c r="T29" s="538">
        <f t="shared" si="8"/>
        <v>-100</v>
      </c>
    </row>
    <row r="30" spans="1:20">
      <c r="A30" s="428" t="s">
        <v>372</v>
      </c>
      <c r="B30" s="17">
        <v>111672411.67498501</v>
      </c>
      <c r="C30" s="17">
        <v>1183481.8135000002</v>
      </c>
      <c r="D30" s="20">
        <v>7191968.7450100007</v>
      </c>
      <c r="E30" s="20">
        <v>13625493.910455</v>
      </c>
      <c r="F30" s="314">
        <f t="shared" si="2"/>
        <v>133673356.14395002</v>
      </c>
      <c r="G30" s="316">
        <v>13</v>
      </c>
      <c r="H30" s="66" t="s">
        <v>108</v>
      </c>
      <c r="I30" s="297">
        <f t="shared" si="3"/>
        <v>10282565.857226925</v>
      </c>
      <c r="J30" s="312">
        <f>+'ตารางที่ 4 ส่ง'!B22</f>
        <v>124210017.16689499</v>
      </c>
      <c r="K30" s="312">
        <f>+'ตารางที่ 4 ส่ง'!C22</f>
        <v>901460.42293999996</v>
      </c>
      <c r="L30" s="312">
        <f>+'ตารางที่ 4 ส่ง'!D22</f>
        <v>6011970.4108750001</v>
      </c>
      <c r="M30" s="312">
        <f>+'ตารางที่ 4 ส่ง'!E22</f>
        <v>14677666.088524999</v>
      </c>
      <c r="N30" s="312">
        <f t="shared" si="4"/>
        <v>145801114.08923498</v>
      </c>
      <c r="O30" s="139">
        <v>28</v>
      </c>
      <c r="P30" s="421" t="s">
        <v>108</v>
      </c>
      <c r="Q30" s="312">
        <f>+N30/O30</f>
        <v>5207182.6460441062</v>
      </c>
      <c r="R30" s="333">
        <f t="shared" si="6"/>
        <v>9.072681568812289</v>
      </c>
      <c r="S30" s="333">
        <f t="shared" si="7"/>
        <v>115.38461538461539</v>
      </c>
      <c r="T30" s="538">
        <f t="shared" si="8"/>
        <v>-49.35911212876573</v>
      </c>
    </row>
    <row r="31" spans="1:20">
      <c r="A31" s="427" t="s">
        <v>373</v>
      </c>
      <c r="B31" s="297">
        <v>56256026.934014998</v>
      </c>
      <c r="C31" s="297">
        <v>596190.08649999998</v>
      </c>
      <c r="D31" s="297">
        <v>3623021.8489899999</v>
      </c>
      <c r="E31" s="297">
        <v>6863970.6165450001</v>
      </c>
      <c r="F31" s="319">
        <f t="shared" si="2"/>
        <v>67339209.486049995</v>
      </c>
      <c r="G31" s="320">
        <v>128</v>
      </c>
      <c r="H31" s="309" t="s">
        <v>72</v>
      </c>
      <c r="I31" s="64">
        <f t="shared" si="3"/>
        <v>526087.57410976558</v>
      </c>
      <c r="J31" s="312">
        <f>+'ตารางที่ 4 ส่ง'!B23</f>
        <v>61591744.049699999</v>
      </c>
      <c r="K31" s="312">
        <f>+'ตารางที่ 4 ส่ง'!C23</f>
        <v>447005.16839999997</v>
      </c>
      <c r="L31" s="312">
        <f>+'ตารางที่ 4 ส่ง'!D23</f>
        <v>2981142.3525</v>
      </c>
      <c r="M31" s="312">
        <f>+'ตารางที่ 4 ส่ง'!E23</f>
        <v>7278181.5315000005</v>
      </c>
      <c r="N31" s="312">
        <f t="shared" si="4"/>
        <v>72298073.1021</v>
      </c>
      <c r="O31" s="139">
        <v>111</v>
      </c>
      <c r="P31" s="421" t="s">
        <v>72</v>
      </c>
      <c r="Q31" s="312">
        <f>+N31/O31</f>
        <v>651333.99191081082</v>
      </c>
      <c r="R31" s="333">
        <f t="shared" si="6"/>
        <v>7.364006280883479</v>
      </c>
      <c r="S31" s="538">
        <f t="shared" si="7"/>
        <v>-13.28125</v>
      </c>
      <c r="T31" s="457">
        <f t="shared" si="8"/>
        <v>23.807142377955724</v>
      </c>
    </row>
    <row r="32" spans="1:20" s="8" customFormat="1">
      <c r="A32" s="254" t="s">
        <v>374</v>
      </c>
      <c r="B32" s="17">
        <v>26196836.423003998</v>
      </c>
      <c r="C32" s="17">
        <v>277628.81640000001</v>
      </c>
      <c r="D32" s="17">
        <v>1687138.5326640001</v>
      </c>
      <c r="E32" s="17">
        <v>3196356.4662120002</v>
      </c>
      <c r="F32" s="312">
        <f t="shared" si="2"/>
        <v>31357960.238279998</v>
      </c>
      <c r="G32" s="316">
        <v>4220799</v>
      </c>
      <c r="H32" s="62" t="s">
        <v>68</v>
      </c>
      <c r="I32" s="298">
        <f t="shared" si="3"/>
        <v>7.4293896104221018</v>
      </c>
      <c r="J32" s="312">
        <f>+'ตารางที่ 4 ส่ง'!B24</f>
        <v>773592305.26423204</v>
      </c>
      <c r="K32" s="312">
        <f>+'ตารางที่ 4 ส่ง'!C24</f>
        <v>5614384.915103999</v>
      </c>
      <c r="L32" s="312">
        <f>+'ตารางที่ 4 ส่ง'!D24</f>
        <v>37443147.947399996</v>
      </c>
      <c r="M32" s="312">
        <f>+'ตารางที่ 4 ส่ง'!E24</f>
        <v>91413960.035640016</v>
      </c>
      <c r="N32" s="312">
        <f t="shared" si="4"/>
        <v>908063798.16237605</v>
      </c>
      <c r="O32" s="139">
        <v>4456177</v>
      </c>
      <c r="P32" s="421" t="s">
        <v>68</v>
      </c>
      <c r="Q32" s="312">
        <f>+N32/O32</f>
        <v>203.77642049729533</v>
      </c>
      <c r="R32" s="336">
        <f t="shared" si="6"/>
        <v>2795.7999540220858</v>
      </c>
      <c r="S32" s="336">
        <f t="shared" si="7"/>
        <v>5.5766218670919887</v>
      </c>
      <c r="T32" s="456">
        <f t="shared" si="8"/>
        <v>2642.8420258298679</v>
      </c>
    </row>
    <row r="33" spans="1:20" s="8" customFormat="1">
      <c r="A33" s="311" t="s">
        <v>307</v>
      </c>
      <c r="B33" s="71"/>
      <c r="C33" s="71"/>
      <c r="D33" s="71"/>
      <c r="E33" s="71"/>
      <c r="F33" s="324"/>
      <c r="G33" s="303"/>
      <c r="H33" s="65"/>
      <c r="I33" s="71"/>
      <c r="J33" s="314"/>
      <c r="K33" s="314"/>
      <c r="L33" s="314"/>
      <c r="M33" s="314"/>
      <c r="N33" s="313"/>
      <c r="O33" s="143"/>
      <c r="P33" s="430"/>
      <c r="Q33" s="313"/>
      <c r="R33" s="188"/>
      <c r="S33" s="188"/>
      <c r="T33" s="515"/>
    </row>
    <row r="34" spans="1:20" s="8" customFormat="1">
      <c r="A34" s="410" t="s">
        <v>375</v>
      </c>
      <c r="B34" s="297">
        <v>41646252.775031999</v>
      </c>
      <c r="C34" s="297">
        <v>441358.63119999995</v>
      </c>
      <c r="D34" s="297">
        <v>2682117.6673119999</v>
      </c>
      <c r="E34" s="297">
        <v>5081387.2026960002</v>
      </c>
      <c r="F34" s="319">
        <f t="shared" ref="F34" si="10">SUM(B34:E34)</f>
        <v>49851116.276239999</v>
      </c>
      <c r="G34" s="507">
        <v>15469</v>
      </c>
      <c r="H34" s="507" t="s">
        <v>68</v>
      </c>
      <c r="I34" s="297">
        <f t="shared" ref="I34" si="11">SUM(F34/G34)</f>
        <v>3222.6463427655308</v>
      </c>
      <c r="J34" s="312">
        <f>+'ตารางที่ 4 ส่ง'!B26</f>
        <v>47630948.731767997</v>
      </c>
      <c r="K34" s="312">
        <f>+'ตารางที่ 4 ส่ง'!C26</f>
        <v>345683.996896</v>
      </c>
      <c r="L34" s="312">
        <f>+'ตารางที่ 4 ส่ง'!D26</f>
        <v>2305416.7525999998</v>
      </c>
      <c r="M34" s="312">
        <f>+'ตารางที่ 4 ส่ง'!E26</f>
        <v>5628460.3843599996</v>
      </c>
      <c r="N34" s="319">
        <f>SUM(J34:M34)</f>
        <v>55910509.865623996</v>
      </c>
      <c r="O34" s="436">
        <v>15885</v>
      </c>
      <c r="P34" s="508" t="s">
        <v>68</v>
      </c>
      <c r="Q34" s="319">
        <f>+N34/O34</f>
        <v>3519.7047444522505</v>
      </c>
      <c r="R34" s="333">
        <f t="shared" si="6"/>
        <v>12.154980754707834</v>
      </c>
      <c r="S34" s="333">
        <f t="shared" si="7"/>
        <v>2.6892494666752862</v>
      </c>
      <c r="T34" s="457">
        <f t="shared" si="8"/>
        <v>9.2178405599355173</v>
      </c>
    </row>
    <row r="35" spans="1:20" s="8" customFormat="1">
      <c r="A35" s="410" t="s">
        <v>376</v>
      </c>
      <c r="B35" s="297">
        <v>0</v>
      </c>
      <c r="C35" s="297">
        <v>0</v>
      </c>
      <c r="D35" s="297">
        <v>0</v>
      </c>
      <c r="E35" s="297">
        <v>0</v>
      </c>
      <c r="F35" s="319">
        <v>0</v>
      </c>
      <c r="G35" s="507">
        <v>0</v>
      </c>
      <c r="H35" s="507">
        <v>0</v>
      </c>
      <c r="I35" s="297">
        <v>0</v>
      </c>
      <c r="J35" s="312">
        <f>+'ตารางที่ 4 ส่ง'!B27</f>
        <v>13550183.690934001</v>
      </c>
      <c r="K35" s="312">
        <f>+'ตารางที่ 4 ส่ง'!C27</f>
        <v>98341.137048000004</v>
      </c>
      <c r="L35" s="312">
        <f>+'ตารางที่ 4 ส่ง'!D27</f>
        <v>655851.31755000004</v>
      </c>
      <c r="M35" s="312">
        <f>+'ตารางที่ 4 ส่ง'!E27</f>
        <v>1601199.9369300001</v>
      </c>
      <c r="N35" s="319">
        <f t="shared" ref="N35" si="12">SUM(J35:M35)</f>
        <v>15905576.082462002</v>
      </c>
      <c r="O35" s="436">
        <v>79</v>
      </c>
      <c r="P35" s="508" t="s">
        <v>282</v>
      </c>
      <c r="Q35" s="319">
        <f t="shared" ref="Q35" si="13">+N35/O35</f>
        <v>201336.40610711396</v>
      </c>
      <c r="R35" s="336">
        <v>100</v>
      </c>
      <c r="S35" s="333">
        <v>100</v>
      </c>
      <c r="T35" s="456">
        <v>100</v>
      </c>
    </row>
    <row r="36" spans="1:20" s="8" customFormat="1" ht="24.75" thickBot="1">
      <c r="A36" s="325" t="s">
        <v>93</v>
      </c>
      <c r="B36" s="326">
        <f>+B18+B19+B24+B25+B26+B27+B28+B29+B30+B31+B32+B34</f>
        <v>1679284386.0899999</v>
      </c>
      <c r="C36" s="326">
        <f t="shared" ref="C36:E36" si="14">+C18+C19+C24+C25+C26+C27+C28+C29+C30+C31+C32+C34</f>
        <v>17796718.999999996</v>
      </c>
      <c r="D36" s="326">
        <f t="shared" si="14"/>
        <v>108149905.93999998</v>
      </c>
      <c r="E36" s="326">
        <f t="shared" si="14"/>
        <v>204894645.26999998</v>
      </c>
      <c r="F36" s="279">
        <f>SUM(B36:E36)</f>
        <v>2010125656.3</v>
      </c>
      <c r="G36" s="306">
        <f>+G18+G19+G24+G25+G26+G27+G28+G29+G32+G34</f>
        <v>4475204</v>
      </c>
      <c r="H36" s="305"/>
      <c r="I36" s="305">
        <f>+F36/G36</f>
        <v>449.16961468125248</v>
      </c>
      <c r="J36" s="305">
        <f>+J18+J19+J24+J25+J26+J27+J28+J29+J30+J31+J32+J34+J35+J20+J21+J22+J23+J16</f>
        <v>2053058134.9899995</v>
      </c>
      <c r="K36" s="305">
        <f t="shared" ref="K36:N36" si="15">+K18+K19+K24+K25+K26+K27+K28+K29+K30+K31+K32+K34+K35+K20+K21+K22+K23+K16</f>
        <v>14900172.279999999</v>
      </c>
      <c r="L36" s="305">
        <f t="shared" si="15"/>
        <v>99371411.75</v>
      </c>
      <c r="M36" s="305">
        <f t="shared" si="15"/>
        <v>242606051.05000001</v>
      </c>
      <c r="N36" s="305">
        <f t="shared" si="15"/>
        <v>2409935770.0699997</v>
      </c>
      <c r="O36" s="306">
        <f>+O18+O19+O25+O26+O27+O28+O29+O32+O34+O20+O21+O22+O16</f>
        <v>4694115</v>
      </c>
      <c r="P36" s="327"/>
      <c r="Q36" s="433">
        <f>+N36/O36</f>
        <v>513.39512774399429</v>
      </c>
      <c r="R36" s="300"/>
      <c r="S36" s="300"/>
      <c r="T36" s="328"/>
    </row>
    <row r="37" spans="1:20" ht="24.75" thickTop="1">
      <c r="G37" s="92"/>
      <c r="J37" s="4"/>
      <c r="K37" s="4"/>
      <c r="L37" s="4"/>
      <c r="M37" s="4"/>
      <c r="N37" s="4"/>
    </row>
    <row r="38" spans="1:20">
      <c r="B38" s="262"/>
      <c r="C38" s="262"/>
      <c r="D38" s="262"/>
      <c r="E38" s="262"/>
      <c r="F38" s="4"/>
      <c r="G38" s="415"/>
      <c r="K38" s="432"/>
      <c r="L38" s="5"/>
      <c r="N38" s="273"/>
    </row>
    <row r="39" spans="1:20">
      <c r="F39" s="5"/>
      <c r="G39" s="92"/>
      <c r="I39" s="4"/>
      <c r="K39" s="4"/>
      <c r="L39" s="4"/>
    </row>
    <row r="40" spans="1:20">
      <c r="I40" s="4"/>
      <c r="K40" s="4"/>
      <c r="L40" s="4"/>
    </row>
    <row r="41" spans="1:20">
      <c r="G41" s="92"/>
      <c r="I41" s="4"/>
      <c r="K41" s="4"/>
      <c r="L41" s="4"/>
    </row>
    <row r="42" spans="1:20" ht="22.9" customHeight="1">
      <c r="I42" s="4"/>
      <c r="K42" s="4"/>
      <c r="L42" s="4"/>
    </row>
    <row r="43" spans="1:20">
      <c r="I43" s="4"/>
      <c r="K43" s="4"/>
      <c r="L43" s="4"/>
    </row>
    <row r="44" spans="1:20">
      <c r="I44" s="4"/>
      <c r="K44" s="4"/>
      <c r="L44" s="4"/>
    </row>
    <row r="45" spans="1:20">
      <c r="I45" s="4"/>
      <c r="K45" s="4"/>
      <c r="L45" s="4"/>
    </row>
    <row r="46" spans="1:20">
      <c r="I46" s="4"/>
      <c r="K46" s="4"/>
      <c r="L46" s="4"/>
    </row>
    <row r="47" spans="1:20">
      <c r="I47" s="4"/>
      <c r="K47" s="4"/>
      <c r="L47" s="4"/>
    </row>
    <row r="48" spans="1:20">
      <c r="I48" s="4"/>
      <c r="K48" s="4"/>
      <c r="L48" s="4"/>
    </row>
    <row r="49" spans="6:12">
      <c r="I49" s="4"/>
      <c r="K49" s="4"/>
      <c r="L49" s="4"/>
    </row>
    <row r="50" spans="6:12">
      <c r="I50" s="4"/>
      <c r="K50" s="4"/>
      <c r="L50" s="4"/>
    </row>
    <row r="52" spans="6:12">
      <c r="F52" s="4"/>
    </row>
    <row r="53" spans="6:12">
      <c r="F53" s="4"/>
    </row>
    <row r="54" spans="6:12">
      <c r="F54" s="5"/>
    </row>
  </sheetData>
  <mergeCells count="7">
    <mergeCell ref="A8:I8"/>
    <mergeCell ref="J8:Q8"/>
    <mergeCell ref="R8:T8"/>
    <mergeCell ref="A4:T4"/>
    <mergeCell ref="A1:T1"/>
    <mergeCell ref="A2:T2"/>
    <mergeCell ref="A3:T3"/>
  </mergeCells>
  <phoneticPr fontId="2" type="noConversion"/>
  <pageMargins left="0.19685039370078741" right="0.15748031496062992" top="0.55118110236220474" bottom="0.98425196850393704" header="0.9055118110236221" footer="0.19685039370078741"/>
  <pageSetup paperSize="5" scale="46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>
  <sheetPr>
    <tabColor rgb="FFFF0000"/>
  </sheetPr>
  <dimension ref="A1:L75"/>
  <sheetViews>
    <sheetView workbookViewId="0">
      <selection activeCell="D11" sqref="D11"/>
    </sheetView>
  </sheetViews>
  <sheetFormatPr defaultRowHeight="27.75"/>
  <cols>
    <col min="1" max="1" width="107.140625" style="219" customWidth="1"/>
    <col min="2" max="2" width="9.140625" style="219"/>
    <col min="3" max="3" width="11.85546875" style="219" customWidth="1"/>
    <col min="4" max="4" width="11.42578125" style="219" bestFit="1" customWidth="1"/>
    <col min="5" max="5" width="16.5703125" style="219" customWidth="1"/>
    <col min="6" max="6" width="10.140625" style="219" bestFit="1" customWidth="1"/>
    <col min="7" max="7" width="16.42578125" style="219" bestFit="1" customWidth="1"/>
    <col min="8" max="11" width="9.140625" style="219"/>
    <col min="12" max="12" width="11.140625" style="219" customWidth="1"/>
    <col min="13" max="15" width="9.140625" style="219"/>
    <col min="16" max="16" width="11.7109375" style="219" customWidth="1"/>
    <col min="17" max="17" width="11.5703125" style="219" customWidth="1"/>
    <col min="18" max="18" width="12.85546875" style="219" customWidth="1"/>
    <col min="19" max="16384" width="9.140625" style="219"/>
  </cols>
  <sheetData>
    <row r="1" spans="1:12" s="113" customFormat="1">
      <c r="A1" s="263" t="s">
        <v>138</v>
      </c>
    </row>
    <row r="2" spans="1:12" s="113" customFormat="1">
      <c r="A2" s="1" t="s">
        <v>95</v>
      </c>
    </row>
    <row r="3" spans="1:12" s="113" customFormat="1">
      <c r="A3" s="1"/>
    </row>
    <row r="4" spans="1:12" s="213" customFormat="1">
      <c r="A4" s="544" t="s">
        <v>412</v>
      </c>
      <c r="D4" s="214"/>
      <c r="L4" s="214" t="s">
        <v>68</v>
      </c>
    </row>
    <row r="5" spans="1:12" s="213" customFormat="1">
      <c r="A5" s="545" t="s">
        <v>413</v>
      </c>
      <c r="D5" s="215"/>
      <c r="L5" s="215"/>
    </row>
    <row r="6" spans="1:12" s="213" customFormat="1">
      <c r="A6" s="546" t="s">
        <v>414</v>
      </c>
      <c r="D6" s="215"/>
      <c r="L6" s="215"/>
    </row>
    <row r="7" spans="1:12" s="213" customFormat="1">
      <c r="A7" s="544" t="s">
        <v>352</v>
      </c>
      <c r="D7" s="214"/>
      <c r="L7" s="214" t="s">
        <v>68</v>
      </c>
    </row>
    <row r="8" spans="1:12" s="213" customFormat="1">
      <c r="A8" s="545" t="s">
        <v>415</v>
      </c>
      <c r="D8" s="215"/>
      <c r="L8" s="215"/>
    </row>
    <row r="9" spans="1:12" s="213" customFormat="1">
      <c r="A9" s="546" t="s">
        <v>416</v>
      </c>
      <c r="D9" s="215"/>
      <c r="L9" s="215"/>
    </row>
    <row r="10" spans="1:12" s="213" customFormat="1">
      <c r="A10" s="547" t="s">
        <v>417</v>
      </c>
      <c r="D10" s="215"/>
      <c r="L10" s="215"/>
    </row>
    <row r="11" spans="1:12" s="213" customFormat="1">
      <c r="A11" s="547" t="s">
        <v>418</v>
      </c>
      <c r="D11" s="215"/>
      <c r="L11" s="215"/>
    </row>
    <row r="12" spans="1:12" s="213" customFormat="1">
      <c r="A12" s="547" t="s">
        <v>419</v>
      </c>
      <c r="D12" s="215"/>
      <c r="L12" s="215"/>
    </row>
    <row r="13" spans="1:12" s="213" customFormat="1">
      <c r="A13" s="548" t="s">
        <v>353</v>
      </c>
      <c r="D13" s="549"/>
      <c r="L13" s="549"/>
    </row>
    <row r="14" spans="1:12" s="213" customFormat="1">
      <c r="A14" s="545" t="s">
        <v>420</v>
      </c>
      <c r="D14" s="215"/>
      <c r="L14" s="215"/>
    </row>
    <row r="15" spans="1:12" s="213" customFormat="1">
      <c r="A15" s="546" t="s">
        <v>421</v>
      </c>
      <c r="D15" s="215"/>
      <c r="L15" s="215"/>
    </row>
    <row r="16" spans="1:12" s="213" customFormat="1">
      <c r="A16" s="547" t="s">
        <v>422</v>
      </c>
      <c r="D16" s="215"/>
      <c r="L16" s="215"/>
    </row>
    <row r="17" spans="1:12" s="213" customFormat="1">
      <c r="A17" s="548" t="s">
        <v>423</v>
      </c>
      <c r="D17" s="215"/>
      <c r="L17" s="215"/>
    </row>
    <row r="18" spans="1:12" s="213" customFormat="1">
      <c r="A18" s="545" t="s">
        <v>413</v>
      </c>
      <c r="D18" s="215"/>
      <c r="L18" s="215"/>
    </row>
    <row r="19" spans="1:12" s="213" customFormat="1">
      <c r="A19" s="546" t="s">
        <v>424</v>
      </c>
      <c r="D19" s="215"/>
      <c r="L19" s="215"/>
    </row>
    <row r="20" spans="1:12" s="213" customFormat="1">
      <c r="A20" s="548" t="s">
        <v>425</v>
      </c>
      <c r="D20" s="215"/>
      <c r="L20" s="215"/>
    </row>
    <row r="21" spans="1:12" s="213" customFormat="1">
      <c r="A21" s="545" t="s">
        <v>413</v>
      </c>
      <c r="D21" s="215"/>
      <c r="L21" s="215"/>
    </row>
    <row r="22" spans="1:12" s="213" customFormat="1">
      <c r="A22" s="546" t="s">
        <v>424</v>
      </c>
      <c r="D22" s="215"/>
      <c r="L22" s="215"/>
    </row>
    <row r="23" spans="1:12" s="213" customFormat="1">
      <c r="A23" s="548" t="s">
        <v>426</v>
      </c>
      <c r="D23" s="215"/>
      <c r="L23" s="215"/>
    </row>
    <row r="24" spans="1:12" s="213" customFormat="1">
      <c r="A24" s="545" t="s">
        <v>413</v>
      </c>
      <c r="D24" s="215"/>
      <c r="L24" s="215"/>
    </row>
    <row r="25" spans="1:12" s="213" customFormat="1">
      <c r="A25" s="546" t="s">
        <v>424</v>
      </c>
      <c r="D25" s="215"/>
      <c r="L25" s="215"/>
    </row>
    <row r="26" spans="1:12" s="213" customFormat="1">
      <c r="A26" s="548" t="s">
        <v>427</v>
      </c>
      <c r="D26" s="215"/>
      <c r="L26" s="215"/>
    </row>
    <row r="27" spans="1:12" s="213" customFormat="1">
      <c r="A27" s="545" t="s">
        <v>413</v>
      </c>
      <c r="D27" s="215"/>
      <c r="L27" s="215"/>
    </row>
    <row r="28" spans="1:12" s="213" customFormat="1">
      <c r="A28" s="546" t="s">
        <v>424</v>
      </c>
      <c r="D28" s="215"/>
      <c r="L28" s="215"/>
    </row>
    <row r="29" spans="1:12" s="213" customFormat="1">
      <c r="A29" s="548" t="s">
        <v>428</v>
      </c>
      <c r="D29" s="215"/>
      <c r="L29" s="215"/>
    </row>
    <row r="30" spans="1:12" s="213" customFormat="1">
      <c r="A30" s="545" t="s">
        <v>429</v>
      </c>
      <c r="D30" s="215"/>
      <c r="L30" s="215"/>
    </row>
    <row r="31" spans="1:12" s="213" customFormat="1">
      <c r="A31" s="546" t="s">
        <v>430</v>
      </c>
      <c r="D31" s="215"/>
      <c r="L31" s="215"/>
    </row>
    <row r="32" spans="1:12" s="497" customFormat="1">
      <c r="A32" s="544" t="s">
        <v>379</v>
      </c>
      <c r="B32" s="213"/>
      <c r="C32" s="213"/>
      <c r="D32" s="214"/>
      <c r="L32" s="550" t="s">
        <v>68</v>
      </c>
    </row>
    <row r="33" spans="1:12" s="497" customFormat="1">
      <c r="A33" s="545" t="s">
        <v>343</v>
      </c>
      <c r="B33" s="213"/>
      <c r="C33" s="213"/>
      <c r="D33" s="215"/>
      <c r="L33" s="551"/>
    </row>
    <row r="34" spans="1:12" s="213" customFormat="1">
      <c r="A34" s="546" t="s">
        <v>377</v>
      </c>
      <c r="D34" s="215"/>
      <c r="L34" s="215"/>
    </row>
    <row r="35" spans="1:12" s="213" customFormat="1">
      <c r="A35" s="546" t="s">
        <v>378</v>
      </c>
      <c r="D35" s="215"/>
      <c r="L35" s="215"/>
    </row>
    <row r="36" spans="1:12" s="213" customFormat="1">
      <c r="A36" s="552" t="s">
        <v>431</v>
      </c>
      <c r="D36" s="215"/>
      <c r="L36" s="215"/>
    </row>
    <row r="37" spans="1:12" s="213" customFormat="1">
      <c r="A37" s="545" t="s">
        <v>432</v>
      </c>
      <c r="D37" s="215"/>
      <c r="L37" s="215"/>
    </row>
    <row r="38" spans="1:12" s="213" customFormat="1">
      <c r="A38" s="546" t="s">
        <v>433</v>
      </c>
      <c r="D38" s="215"/>
      <c r="L38" s="215"/>
    </row>
    <row r="39" spans="1:12" s="213" customFormat="1">
      <c r="A39" s="544" t="s">
        <v>434</v>
      </c>
      <c r="D39" s="215"/>
      <c r="L39" s="215"/>
    </row>
    <row r="40" spans="1:12" s="213" customFormat="1">
      <c r="A40" s="545" t="s">
        <v>435</v>
      </c>
      <c r="D40" s="215"/>
      <c r="L40" s="215"/>
    </row>
    <row r="41" spans="1:12" s="213" customFormat="1">
      <c r="A41" s="546" t="s">
        <v>436</v>
      </c>
      <c r="D41" s="215"/>
      <c r="L41" s="215"/>
    </row>
    <row r="42" spans="1:12" s="213" customFormat="1">
      <c r="A42" s="553" t="s">
        <v>437</v>
      </c>
      <c r="D42" s="215"/>
      <c r="L42" s="215"/>
    </row>
    <row r="43" spans="1:12" s="213" customFormat="1">
      <c r="A43" s="554" t="s">
        <v>438</v>
      </c>
      <c r="D43" s="215"/>
      <c r="L43" s="215"/>
    </row>
    <row r="44" spans="1:12" s="213" customFormat="1" ht="28.5">
      <c r="A44" s="554" t="s">
        <v>439</v>
      </c>
      <c r="D44" s="215"/>
      <c r="L44" s="215"/>
    </row>
    <row r="45" spans="1:12" s="213" customFormat="1">
      <c r="A45" s="554" t="s">
        <v>440</v>
      </c>
      <c r="D45" s="215"/>
      <c r="L45" s="215"/>
    </row>
    <row r="46" spans="1:12" s="213" customFormat="1">
      <c r="A46" s="555" t="s">
        <v>380</v>
      </c>
      <c r="D46" s="461"/>
      <c r="L46" s="461"/>
    </row>
    <row r="47" spans="1:12" s="213" customFormat="1">
      <c r="A47" s="554" t="s">
        <v>441</v>
      </c>
      <c r="D47" s="215"/>
      <c r="L47" s="215"/>
    </row>
    <row r="48" spans="1:12" s="213" customFormat="1" ht="28.5">
      <c r="A48" s="554" t="s">
        <v>442</v>
      </c>
      <c r="D48" s="215"/>
      <c r="L48" s="215"/>
    </row>
    <row r="49" spans="1:12" s="213" customFormat="1">
      <c r="A49" s="556" t="s">
        <v>381</v>
      </c>
      <c r="D49" s="215"/>
      <c r="L49" s="215"/>
    </row>
    <row r="50" spans="1:12" s="213" customFormat="1">
      <c r="A50" s="556" t="s">
        <v>263</v>
      </c>
      <c r="D50" s="215"/>
      <c r="L50" s="215"/>
    </row>
    <row r="51" spans="1:12" s="213" customFormat="1">
      <c r="A51" s="554" t="s">
        <v>443</v>
      </c>
      <c r="D51" s="215"/>
      <c r="L51" s="215"/>
    </row>
    <row r="52" spans="1:12" s="213" customFormat="1">
      <c r="A52" s="400" t="s">
        <v>444</v>
      </c>
      <c r="D52" s="215"/>
      <c r="L52" s="215"/>
    </row>
    <row r="53" spans="1:12" s="213" customFormat="1">
      <c r="A53" s="557" t="s">
        <v>445</v>
      </c>
      <c r="D53" s="215"/>
      <c r="L53" s="215"/>
    </row>
    <row r="54" spans="1:12" s="213" customFormat="1">
      <c r="A54" s="552" t="s">
        <v>292</v>
      </c>
      <c r="D54" s="215"/>
      <c r="L54" s="215"/>
    </row>
    <row r="55" spans="1:12" s="213" customFormat="1">
      <c r="A55" s="545" t="s">
        <v>446</v>
      </c>
      <c r="D55" s="215"/>
      <c r="L55" s="215"/>
    </row>
    <row r="56" spans="1:12" s="213" customFormat="1">
      <c r="A56" s="546" t="s">
        <v>447</v>
      </c>
      <c r="D56" s="215"/>
      <c r="L56" s="215"/>
    </row>
    <row r="57" spans="1:12" s="213" customFormat="1">
      <c r="A57" s="207"/>
      <c r="D57" s="215"/>
      <c r="L57" s="215"/>
    </row>
    <row r="58" spans="1:12" s="213" customFormat="1">
      <c r="A58" s="207"/>
      <c r="D58" s="215"/>
      <c r="L58" s="215"/>
    </row>
    <row r="59" spans="1:12" s="213" customFormat="1">
      <c r="A59" s="207"/>
      <c r="D59" s="215"/>
      <c r="L59" s="215"/>
    </row>
    <row r="60" spans="1:12" s="213" customFormat="1">
      <c r="A60" s="207"/>
      <c r="D60" s="215"/>
      <c r="L60" s="215"/>
    </row>
    <row r="61" spans="1:12" s="213" customFormat="1">
      <c r="A61" s="207"/>
      <c r="D61" s="215"/>
      <c r="L61" s="215"/>
    </row>
    <row r="62" spans="1:12" s="213" customFormat="1">
      <c r="A62" s="207"/>
      <c r="D62" s="215"/>
      <c r="L62" s="215"/>
    </row>
    <row r="63" spans="1:12" s="213" customFormat="1">
      <c r="A63" s="207"/>
      <c r="D63" s="215"/>
      <c r="L63" s="215"/>
    </row>
    <row r="64" spans="1:12" s="213" customFormat="1">
      <c r="A64" s="207"/>
      <c r="D64" s="215"/>
      <c r="L64" s="215"/>
    </row>
    <row r="65" spans="1:12" s="213" customFormat="1">
      <c r="A65" s="207"/>
      <c r="D65" s="215"/>
      <c r="L65" s="215"/>
    </row>
    <row r="66" spans="1:12" s="213" customFormat="1">
      <c r="A66" s="207"/>
      <c r="D66" s="215"/>
      <c r="L66" s="215"/>
    </row>
    <row r="67" spans="1:12" s="213" customFormat="1">
      <c r="A67" s="207"/>
      <c r="D67" s="215"/>
      <c r="L67" s="215"/>
    </row>
    <row r="68" spans="1:12" s="213" customFormat="1">
      <c r="A68" s="207"/>
      <c r="D68" s="215"/>
      <c r="L68" s="215"/>
    </row>
    <row r="69" spans="1:12" s="213" customFormat="1">
      <c r="A69" s="207"/>
      <c r="D69" s="215"/>
      <c r="L69" s="215"/>
    </row>
    <row r="70" spans="1:12" s="213" customFormat="1">
      <c r="A70" s="207"/>
      <c r="D70" s="215"/>
      <c r="L70" s="215"/>
    </row>
    <row r="71" spans="1:12" s="213" customFormat="1">
      <c r="A71" s="207"/>
      <c r="D71" s="215"/>
      <c r="L71" s="215"/>
    </row>
    <row r="72" spans="1:12" s="213" customFormat="1">
      <c r="A72" s="207"/>
      <c r="D72" s="215"/>
      <c r="L72" s="215"/>
    </row>
    <row r="73" spans="1:12" s="213" customFormat="1">
      <c r="A73" s="207"/>
      <c r="D73" s="215"/>
      <c r="L73" s="215"/>
    </row>
    <row r="74" spans="1:12" s="213" customFormat="1">
      <c r="A74" s="207"/>
      <c r="D74" s="215"/>
      <c r="L74" s="215"/>
    </row>
    <row r="75" spans="1:12" s="213" customFormat="1">
      <c r="A75" s="207"/>
      <c r="D75" s="215"/>
      <c r="L75" s="215"/>
    </row>
  </sheetData>
  <phoneticPr fontId="2" type="noConversion"/>
  <pageMargins left="0.38" right="0.19685039370078741" top="0.39370078740157483" bottom="0.47244094488188981" header="0.27559055118110237" footer="0.27559055118110237"/>
  <pageSetup scale="90" orientation="portrait" r:id="rId1"/>
  <headerFooter alignWithMargins="0">
    <oddFooter>&amp;C&amp;P</oddFooter>
  </headerFooter>
  <rowBreaks count="1" manualBreakCount="1">
    <brk id="2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</sheetPr>
  <dimension ref="A1:U38"/>
  <sheetViews>
    <sheetView workbookViewId="0">
      <selection activeCell="A44" sqref="A44"/>
    </sheetView>
  </sheetViews>
  <sheetFormatPr defaultRowHeight="24"/>
  <cols>
    <col min="1" max="1" width="63.7109375" style="26" customWidth="1"/>
    <col min="2" max="2" width="18.28515625" style="26" customWidth="1"/>
    <col min="3" max="3" width="16.140625" style="26" customWidth="1"/>
    <col min="4" max="4" width="16.7109375" style="26" customWidth="1"/>
    <col min="5" max="5" width="17.5703125" style="26" customWidth="1"/>
    <col min="6" max="6" width="19" style="26" customWidth="1"/>
    <col min="7" max="7" width="11.42578125" style="26" customWidth="1"/>
    <col min="8" max="8" width="9.85546875" style="264" customWidth="1"/>
    <col min="9" max="9" width="15.140625" style="26" customWidth="1"/>
    <col min="10" max="10" width="19.5703125" style="26" customWidth="1"/>
    <col min="11" max="11" width="16.42578125" style="26" customWidth="1"/>
    <col min="12" max="12" width="16.5703125" style="26" customWidth="1"/>
    <col min="13" max="13" width="18.5703125" style="26" customWidth="1"/>
    <col min="14" max="14" width="20.140625" style="26" customWidth="1"/>
    <col min="15" max="15" width="11.42578125" style="25" customWidth="1"/>
    <col min="16" max="16" width="11" style="264" customWidth="1"/>
    <col min="17" max="17" width="16.140625" style="26" customWidth="1"/>
    <col min="18" max="20" width="14.7109375" style="26" bestFit="1" customWidth="1"/>
    <col min="21" max="21" width="9.140625" style="27"/>
    <col min="22" max="16384" width="9.140625" style="26"/>
  </cols>
  <sheetData>
    <row r="1" spans="1:21" s="1" customFormat="1" ht="27.75">
      <c r="A1" s="604" t="s">
        <v>177</v>
      </c>
      <c r="B1" s="604"/>
      <c r="C1" s="604"/>
      <c r="D1" s="604"/>
      <c r="E1" s="604"/>
      <c r="F1" s="604"/>
      <c r="G1" s="604"/>
      <c r="H1" s="604"/>
      <c r="I1" s="604"/>
      <c r="J1" s="604"/>
      <c r="K1" s="604"/>
      <c r="L1" s="604"/>
      <c r="M1" s="604"/>
      <c r="N1" s="604"/>
      <c r="O1" s="604"/>
      <c r="P1" s="604"/>
      <c r="Q1" s="604"/>
      <c r="R1" s="604"/>
      <c r="S1" s="604"/>
      <c r="T1" s="604"/>
      <c r="U1" s="29"/>
    </row>
    <row r="2" spans="1:21" s="1" customFormat="1" ht="22.5" customHeight="1">
      <c r="A2" s="604" t="s">
        <v>253</v>
      </c>
      <c r="B2" s="604"/>
      <c r="C2" s="604"/>
      <c r="D2" s="604"/>
      <c r="E2" s="604"/>
      <c r="F2" s="604"/>
      <c r="G2" s="604"/>
      <c r="H2" s="604"/>
      <c r="I2" s="604"/>
      <c r="J2" s="604"/>
      <c r="K2" s="604"/>
      <c r="L2" s="604"/>
      <c r="M2" s="604"/>
      <c r="N2" s="604"/>
      <c r="O2" s="604"/>
      <c r="P2" s="604"/>
      <c r="Q2" s="604"/>
      <c r="R2" s="604"/>
      <c r="S2" s="604"/>
      <c r="T2" s="604"/>
      <c r="U2" s="29"/>
    </row>
    <row r="3" spans="1:21" s="1" customFormat="1" ht="22.5" customHeight="1">
      <c r="A3" s="604" t="s">
        <v>277</v>
      </c>
      <c r="B3" s="604"/>
      <c r="C3" s="604"/>
      <c r="D3" s="604"/>
      <c r="E3" s="604"/>
      <c r="F3" s="604"/>
      <c r="G3" s="604"/>
      <c r="H3" s="604"/>
      <c r="I3" s="604"/>
      <c r="J3" s="604"/>
      <c r="K3" s="604"/>
      <c r="L3" s="604"/>
      <c r="M3" s="604"/>
      <c r="N3" s="604"/>
      <c r="O3" s="604"/>
      <c r="P3" s="604"/>
      <c r="Q3" s="604"/>
      <c r="R3" s="604"/>
      <c r="S3" s="604"/>
      <c r="T3" s="604"/>
      <c r="U3" s="29"/>
    </row>
    <row r="4" spans="1:21" s="1" customFormat="1" ht="27.75">
      <c r="A4" s="604" t="s">
        <v>280</v>
      </c>
      <c r="B4" s="604"/>
      <c r="C4" s="604"/>
      <c r="D4" s="604"/>
      <c r="E4" s="604"/>
      <c r="F4" s="604"/>
      <c r="G4" s="604"/>
      <c r="H4" s="604"/>
      <c r="I4" s="604"/>
      <c r="J4" s="604"/>
      <c r="K4" s="604"/>
      <c r="L4" s="604"/>
      <c r="M4" s="604"/>
      <c r="N4" s="604"/>
      <c r="O4" s="604"/>
      <c r="P4" s="604"/>
      <c r="Q4" s="604"/>
      <c r="R4" s="604"/>
      <c r="S4" s="604"/>
      <c r="T4" s="604"/>
      <c r="U4" s="29"/>
    </row>
    <row r="5" spans="1:21" s="1" customFormat="1" ht="21.75" customHeight="1">
      <c r="H5" s="31"/>
      <c r="O5" s="256"/>
      <c r="P5" s="31"/>
      <c r="U5" s="29"/>
    </row>
    <row r="6" spans="1:21" s="1" customFormat="1" ht="27.75">
      <c r="A6" s="263" t="s">
        <v>92</v>
      </c>
      <c r="H6" s="31"/>
      <c r="O6" s="256"/>
      <c r="P6" s="31"/>
      <c r="U6" s="29"/>
    </row>
    <row r="7" spans="1:21" s="21" customFormat="1">
      <c r="A7" s="38"/>
      <c r="H7" s="39"/>
      <c r="O7" s="33"/>
      <c r="P7" s="39"/>
      <c r="U7" s="24"/>
    </row>
    <row r="8" spans="1:21" s="193" customFormat="1" ht="30.75">
      <c r="A8" s="598" t="s">
        <v>259</v>
      </c>
      <c r="B8" s="599"/>
      <c r="C8" s="599"/>
      <c r="D8" s="599"/>
      <c r="E8" s="599"/>
      <c r="F8" s="599"/>
      <c r="G8" s="599"/>
      <c r="H8" s="599"/>
      <c r="I8" s="600"/>
      <c r="J8" s="599" t="s">
        <v>281</v>
      </c>
      <c r="K8" s="599"/>
      <c r="L8" s="599"/>
      <c r="M8" s="599"/>
      <c r="N8" s="599"/>
      <c r="O8" s="599"/>
      <c r="P8" s="599"/>
      <c r="Q8" s="600"/>
      <c r="R8" s="601" t="s">
        <v>86</v>
      </c>
      <c r="S8" s="602"/>
      <c r="T8" s="603"/>
    </row>
    <row r="9" spans="1:21" s="39" customFormat="1">
      <c r="A9" s="84" t="s">
        <v>76</v>
      </c>
      <c r="B9" s="84" t="s">
        <v>78</v>
      </c>
      <c r="C9" s="84" t="s">
        <v>80</v>
      </c>
      <c r="D9" s="84" t="s">
        <v>46</v>
      </c>
      <c r="E9" s="84" t="s">
        <v>81</v>
      </c>
      <c r="F9" s="84" t="s">
        <v>77</v>
      </c>
      <c r="G9" s="84" t="s">
        <v>63</v>
      </c>
      <c r="H9" s="84" t="s">
        <v>83</v>
      </c>
      <c r="I9" s="84" t="s">
        <v>77</v>
      </c>
      <c r="J9" s="84" t="s">
        <v>78</v>
      </c>
      <c r="K9" s="84" t="s">
        <v>80</v>
      </c>
      <c r="L9" s="84" t="s">
        <v>46</v>
      </c>
      <c r="M9" s="84" t="s">
        <v>81</v>
      </c>
      <c r="N9" s="84" t="s">
        <v>77</v>
      </c>
      <c r="O9" s="78" t="s">
        <v>63</v>
      </c>
      <c r="P9" s="84" t="s">
        <v>83</v>
      </c>
      <c r="Q9" s="22" t="s">
        <v>77</v>
      </c>
      <c r="R9" s="22" t="s">
        <v>77</v>
      </c>
      <c r="S9" s="22" t="s">
        <v>83</v>
      </c>
      <c r="T9" s="22" t="s">
        <v>77</v>
      </c>
    </row>
    <row r="10" spans="1:21" s="39" customFormat="1">
      <c r="A10" s="86"/>
      <c r="B10" s="86" t="s">
        <v>79</v>
      </c>
      <c r="C10" s="86" t="s">
        <v>79</v>
      </c>
      <c r="D10" s="86"/>
      <c r="E10" s="86" t="s">
        <v>82</v>
      </c>
      <c r="F10" s="86" t="s">
        <v>47</v>
      </c>
      <c r="G10" s="86"/>
      <c r="H10" s="86" t="s">
        <v>84</v>
      </c>
      <c r="I10" s="86" t="s">
        <v>85</v>
      </c>
      <c r="J10" s="86" t="s">
        <v>79</v>
      </c>
      <c r="K10" s="86" t="s">
        <v>79</v>
      </c>
      <c r="L10" s="86"/>
      <c r="M10" s="86" t="s">
        <v>82</v>
      </c>
      <c r="N10" s="86" t="s">
        <v>47</v>
      </c>
      <c r="O10" s="87"/>
      <c r="P10" s="86" t="s">
        <v>84</v>
      </c>
      <c r="Q10" s="23" t="s">
        <v>85</v>
      </c>
      <c r="R10" s="23" t="s">
        <v>47</v>
      </c>
      <c r="S10" s="23" t="s">
        <v>84</v>
      </c>
      <c r="T10" s="23" t="s">
        <v>85</v>
      </c>
    </row>
    <row r="11" spans="1:21" s="39" customFormat="1">
      <c r="A11" s="86"/>
      <c r="B11" s="86"/>
      <c r="C11" s="86"/>
      <c r="D11" s="86"/>
      <c r="E11" s="86"/>
      <c r="F11" s="86"/>
      <c r="G11" s="86"/>
      <c r="H11" s="86"/>
      <c r="I11" s="86"/>
      <c r="J11" s="86"/>
      <c r="K11" s="86"/>
      <c r="L11" s="86"/>
      <c r="M11" s="86"/>
      <c r="N11" s="86"/>
      <c r="O11" s="87"/>
      <c r="P11" s="86"/>
      <c r="Q11" s="23"/>
      <c r="R11" s="23" t="s">
        <v>87</v>
      </c>
      <c r="S11" s="23" t="s">
        <v>87</v>
      </c>
      <c r="T11" s="23" t="s">
        <v>87</v>
      </c>
    </row>
    <row r="12" spans="1:21" s="39" customFormat="1">
      <c r="A12" s="86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9"/>
      <c r="O12" s="87"/>
      <c r="P12" s="86"/>
      <c r="Q12" s="23"/>
      <c r="R12" s="23" t="s">
        <v>88</v>
      </c>
      <c r="S12" s="23" t="s">
        <v>88</v>
      </c>
      <c r="T12" s="23" t="s">
        <v>88</v>
      </c>
    </row>
    <row r="13" spans="1:21" s="39" customFormat="1">
      <c r="A13" s="86"/>
      <c r="B13" s="86"/>
      <c r="C13" s="86"/>
      <c r="D13" s="86"/>
      <c r="E13" s="86"/>
      <c r="F13" s="86"/>
      <c r="G13" s="86"/>
      <c r="H13" s="86"/>
      <c r="I13" s="86"/>
      <c r="J13" s="86"/>
      <c r="K13" s="86"/>
      <c r="L13" s="86"/>
      <c r="M13" s="86"/>
      <c r="N13" s="89"/>
      <c r="O13" s="87"/>
      <c r="P13" s="86"/>
      <c r="Q13" s="23"/>
      <c r="R13" s="23"/>
      <c r="S13" s="23"/>
      <c r="T13" s="88"/>
    </row>
    <row r="14" spans="1:21">
      <c r="A14" s="84" t="s">
        <v>149</v>
      </c>
      <c r="B14" s="84" t="s">
        <v>150</v>
      </c>
      <c r="C14" s="84" t="s">
        <v>151</v>
      </c>
      <c r="D14" s="84" t="s">
        <v>152</v>
      </c>
      <c r="E14" s="84" t="s">
        <v>174</v>
      </c>
      <c r="F14" s="84" t="s">
        <v>119</v>
      </c>
      <c r="G14" s="84" t="s">
        <v>154</v>
      </c>
      <c r="H14" s="84" t="s">
        <v>155</v>
      </c>
      <c r="I14" s="84" t="s">
        <v>120</v>
      </c>
      <c r="J14" s="84" t="s">
        <v>121</v>
      </c>
      <c r="K14" s="84" t="s">
        <v>122</v>
      </c>
      <c r="L14" s="84" t="s">
        <v>158</v>
      </c>
      <c r="M14" s="84" t="s">
        <v>159</v>
      </c>
      <c r="N14" s="84" t="s">
        <v>12</v>
      </c>
      <c r="O14" s="78" t="s">
        <v>161</v>
      </c>
      <c r="P14" s="84" t="s">
        <v>123</v>
      </c>
      <c r="Q14" s="22" t="s">
        <v>124</v>
      </c>
      <c r="R14" s="22" t="s">
        <v>17</v>
      </c>
      <c r="S14" s="22" t="s">
        <v>15</v>
      </c>
      <c r="T14" s="22" t="s">
        <v>13</v>
      </c>
    </row>
    <row r="15" spans="1:21" s="3" customFormat="1">
      <c r="A15" s="90"/>
      <c r="B15" s="90"/>
      <c r="C15" s="90"/>
      <c r="D15" s="90"/>
      <c r="E15" s="90"/>
      <c r="F15" s="90"/>
      <c r="G15" s="90"/>
      <c r="H15" s="90"/>
      <c r="I15" s="90"/>
      <c r="J15" s="90"/>
      <c r="K15" s="90"/>
      <c r="L15" s="90"/>
      <c r="M15" s="90"/>
      <c r="N15" s="90"/>
      <c r="O15" s="82"/>
      <c r="P15" s="90"/>
      <c r="Q15" s="70"/>
      <c r="R15" s="91" t="s">
        <v>18</v>
      </c>
      <c r="S15" s="91" t="s">
        <v>16</v>
      </c>
      <c r="T15" s="91" t="s">
        <v>14</v>
      </c>
    </row>
    <row r="16" spans="1:21" s="3" customFormat="1">
      <c r="A16" s="512" t="s">
        <v>351</v>
      </c>
      <c r="B16" s="298">
        <v>0</v>
      </c>
      <c r="C16" s="298">
        <v>0</v>
      </c>
      <c r="D16" s="298">
        <v>0</v>
      </c>
      <c r="E16" s="298">
        <v>0</v>
      </c>
      <c r="F16" s="312">
        <v>0</v>
      </c>
      <c r="G16" s="513">
        <v>0</v>
      </c>
      <c r="H16" s="513">
        <v>0</v>
      </c>
      <c r="I16" s="298">
        <v>0</v>
      </c>
      <c r="J16" s="312">
        <f>+'ตารางที่ 4 ส่ง'!B8</f>
        <v>2053058.1349900002</v>
      </c>
      <c r="K16" s="312">
        <f>+'ตารางที่ 4 ส่ง'!C8</f>
        <v>14900.172280000001</v>
      </c>
      <c r="L16" s="312">
        <f>+'ตารางที่ 4 ส่ง'!D8</f>
        <v>99371.411750000014</v>
      </c>
      <c r="M16" s="312">
        <f>+'ตารางที่ 4 ส่ง'!E8</f>
        <v>242606.05105000004</v>
      </c>
      <c r="N16" s="312">
        <f t="shared" ref="N16" si="0">SUM(J16:M16)</f>
        <v>2409935.7700700001</v>
      </c>
      <c r="O16" s="139">
        <v>589</v>
      </c>
      <c r="P16" s="308" t="s">
        <v>68</v>
      </c>
      <c r="Q16" s="312">
        <f t="shared" ref="Q16" si="1">+N16/O16</f>
        <v>4091.5717658234298</v>
      </c>
      <c r="R16" s="336">
        <v>100</v>
      </c>
      <c r="S16" s="336">
        <v>100</v>
      </c>
      <c r="T16" s="456">
        <v>100</v>
      </c>
    </row>
    <row r="17" spans="1:21" s="3" customFormat="1">
      <c r="A17" s="504" t="s">
        <v>501</v>
      </c>
      <c r="B17" s="64"/>
      <c r="C17" s="64"/>
      <c r="D17" s="64"/>
      <c r="E17" s="64"/>
      <c r="F17" s="322"/>
      <c r="G17" s="429"/>
      <c r="H17" s="429"/>
      <c r="I17" s="64"/>
      <c r="J17" s="322"/>
      <c r="K17" s="322"/>
      <c r="L17" s="322"/>
      <c r="M17" s="322"/>
      <c r="N17" s="322"/>
      <c r="O17" s="144"/>
      <c r="P17" s="310"/>
      <c r="Q17" s="322"/>
      <c r="R17" s="188"/>
      <c r="S17" s="514"/>
      <c r="T17" s="515"/>
    </row>
    <row r="18" spans="1:21" s="8" customFormat="1">
      <c r="A18" s="419" t="s">
        <v>352</v>
      </c>
      <c r="B18" s="289">
        <v>156509304.78358799</v>
      </c>
      <c r="C18" s="289">
        <v>1658654.2108000002</v>
      </c>
      <c r="D18" s="289">
        <v>10079571.233608</v>
      </c>
      <c r="E18" s="289">
        <v>19096180.939164001</v>
      </c>
      <c r="F18" s="307">
        <f t="shared" ref="F18:F32" si="2">SUM(B18:E18)</f>
        <v>187343711.16716</v>
      </c>
      <c r="G18" s="139">
        <v>35454</v>
      </c>
      <c r="H18" s="308" t="s">
        <v>68</v>
      </c>
      <c r="I18" s="289">
        <f t="shared" ref="I18:I32" si="3">SUM(F18/G18)</f>
        <v>5284.1346862740456</v>
      </c>
      <c r="J18" s="312">
        <f>+'ตารางที่ 4 ส่ง'!B10</f>
        <v>461732774.55925095</v>
      </c>
      <c r="K18" s="312">
        <f>+'ตารางที่ 4 ส่ง'!C10</f>
        <v>3351048.7457719995</v>
      </c>
      <c r="L18" s="312">
        <f>+'ตารางที่ 4 ส่ง'!D10</f>
        <v>22348630.502574995</v>
      </c>
      <c r="M18" s="312">
        <f>+'ตารางที่ 4 ส่ง'!E10</f>
        <v>54562100.881145</v>
      </c>
      <c r="N18" s="312">
        <f t="shared" ref="N18:N32" si="4">SUM(J18:M18)</f>
        <v>541994554.68874288</v>
      </c>
      <c r="O18" s="420">
        <v>149401</v>
      </c>
      <c r="P18" s="421" t="s">
        <v>68</v>
      </c>
      <c r="Q18" s="312">
        <f t="shared" ref="Q18:Q28" si="5">+N18/O18</f>
        <v>3627.7839819595779</v>
      </c>
      <c r="R18" s="333">
        <f>SUM((N18-F18)*100/F18)</f>
        <v>189.30490984303219</v>
      </c>
      <c r="S18" s="333">
        <f>SUM((O18-G18)*100/G18)</f>
        <v>321.39391888080331</v>
      </c>
      <c r="T18" s="538">
        <f>SUM((Q18-I18)*100/I18)</f>
        <v>-31.345732133152637</v>
      </c>
      <c r="U18" s="9"/>
    </row>
    <row r="19" spans="1:21" s="3" customFormat="1">
      <c r="A19" s="414" t="s">
        <v>353</v>
      </c>
      <c r="B19" s="411">
        <v>29891262.072402</v>
      </c>
      <c r="C19" s="411">
        <v>316781.59820000001</v>
      </c>
      <c r="D19" s="411">
        <v>1925068.3257319999</v>
      </c>
      <c r="E19" s="411">
        <v>3647124.6858060001</v>
      </c>
      <c r="F19" s="319">
        <f t="shared" si="2"/>
        <v>35780236.68214</v>
      </c>
      <c r="G19" s="431">
        <v>1586</v>
      </c>
      <c r="H19" s="422" t="s">
        <v>68</v>
      </c>
      <c r="I19" s="411">
        <f t="shared" si="3"/>
        <v>22560.048349394703</v>
      </c>
      <c r="J19" s="312">
        <f>+'ตารางที่ 4 ส่ง'!B11</f>
        <v>84791300.975086987</v>
      </c>
      <c r="K19" s="312">
        <f>+'ตารางที่ 4 ส่ง'!C11</f>
        <v>615377.11516399996</v>
      </c>
      <c r="L19" s="312">
        <f>+'ตารางที่ 4 ส่ง'!D11</f>
        <v>4104039.3052749997</v>
      </c>
      <c r="M19" s="312">
        <f>+'ตารางที่ 4 ส่ง'!E11</f>
        <v>10019629.908365</v>
      </c>
      <c r="N19" s="312">
        <f t="shared" si="4"/>
        <v>99530347.303890973</v>
      </c>
      <c r="O19" s="423">
        <v>2210</v>
      </c>
      <c r="P19" s="425" t="s">
        <v>68</v>
      </c>
      <c r="Q19" s="319">
        <f t="shared" si="5"/>
        <v>45036.356246104515</v>
      </c>
      <c r="R19" s="333">
        <f t="shared" ref="R19:S34" si="6">SUM((N19-F19)*100/F19)</f>
        <v>178.17129380134136</v>
      </c>
      <c r="S19" s="333">
        <f t="shared" si="6"/>
        <v>39.344262295081968</v>
      </c>
      <c r="T19" s="457">
        <f t="shared" ref="T19:T34" si="7">SUM((Q19-I19)*100/I19)</f>
        <v>99.628810845668511</v>
      </c>
      <c r="U19" s="4"/>
    </row>
    <row r="20" spans="1:21" s="3" customFormat="1">
      <c r="A20" s="410" t="s">
        <v>354</v>
      </c>
      <c r="B20" s="297">
        <v>0</v>
      </c>
      <c r="C20" s="297">
        <v>0</v>
      </c>
      <c r="D20" s="297">
        <v>0</v>
      </c>
      <c r="E20" s="297">
        <v>0</v>
      </c>
      <c r="F20" s="319">
        <v>0</v>
      </c>
      <c r="G20" s="507">
        <v>0</v>
      </c>
      <c r="H20" s="507">
        <v>0</v>
      </c>
      <c r="I20" s="297">
        <v>0</v>
      </c>
      <c r="J20" s="312">
        <f>+'ตารางที่ 4 ส่ง'!B12</f>
        <v>12318348.809939999</v>
      </c>
      <c r="K20" s="312">
        <f>+'ตารางที่ 4 ส่ง'!C12</f>
        <v>89401.033679999993</v>
      </c>
      <c r="L20" s="312">
        <f>+'ตารางที่ 4 ส่ง'!D12</f>
        <v>596228.47049999994</v>
      </c>
      <c r="M20" s="312">
        <f>+'ตารางที่ 4 ส่ง'!E12</f>
        <v>1455636.3063000001</v>
      </c>
      <c r="N20" s="319">
        <f t="shared" ref="N20:N23" si="8">SUM(J20:M20)</f>
        <v>14459614.620419998</v>
      </c>
      <c r="O20" s="436">
        <v>3604</v>
      </c>
      <c r="P20" s="508" t="s">
        <v>68</v>
      </c>
      <c r="Q20" s="319">
        <f t="shared" si="5"/>
        <v>4012.1017259766918</v>
      </c>
      <c r="R20" s="336">
        <v>100</v>
      </c>
      <c r="S20" s="333">
        <v>100</v>
      </c>
      <c r="T20" s="456">
        <v>100</v>
      </c>
      <c r="U20" s="4"/>
    </row>
    <row r="21" spans="1:21" s="8" customFormat="1">
      <c r="A21" s="410" t="s">
        <v>367</v>
      </c>
      <c r="B21" s="297">
        <v>0</v>
      </c>
      <c r="C21" s="297">
        <v>0</v>
      </c>
      <c r="D21" s="297">
        <v>0</v>
      </c>
      <c r="E21" s="297">
        <v>0</v>
      </c>
      <c r="F21" s="319">
        <v>0</v>
      </c>
      <c r="G21" s="507">
        <v>0</v>
      </c>
      <c r="H21" s="507">
        <v>0</v>
      </c>
      <c r="I21" s="297">
        <v>0</v>
      </c>
      <c r="J21" s="312">
        <f>+'ตารางที่ 4 ส่ง'!B13</f>
        <v>2668975.5754869999</v>
      </c>
      <c r="K21" s="312">
        <f>+'ตารางที่ 4 ส่ง'!C13</f>
        <v>19370.223964000001</v>
      </c>
      <c r="L21" s="312">
        <f>+'ตารางที่ 4 ส่ง'!D13</f>
        <v>129182.835275</v>
      </c>
      <c r="M21" s="312">
        <f>+'ตารางที่ 4 ส่ง'!E13</f>
        <v>315387.86636500002</v>
      </c>
      <c r="N21" s="319">
        <f t="shared" si="8"/>
        <v>3132916.5010910002</v>
      </c>
      <c r="O21" s="436">
        <v>59</v>
      </c>
      <c r="P21" s="508" t="s">
        <v>68</v>
      </c>
      <c r="Q21" s="319">
        <f t="shared" si="5"/>
        <v>53100.27967950848</v>
      </c>
      <c r="R21" s="336">
        <v>100</v>
      </c>
      <c r="S21" s="333">
        <v>100</v>
      </c>
      <c r="T21" s="456">
        <v>100</v>
      </c>
      <c r="U21" s="9"/>
    </row>
    <row r="22" spans="1:21" s="8" customFormat="1">
      <c r="A22" s="410" t="s">
        <v>356</v>
      </c>
      <c r="B22" s="297">
        <v>0</v>
      </c>
      <c r="C22" s="297">
        <v>0</v>
      </c>
      <c r="D22" s="297">
        <v>0</v>
      </c>
      <c r="E22" s="297">
        <v>0</v>
      </c>
      <c r="F22" s="319">
        <v>0</v>
      </c>
      <c r="G22" s="507">
        <v>0</v>
      </c>
      <c r="H22" s="507">
        <v>0</v>
      </c>
      <c r="I22" s="297">
        <v>0</v>
      </c>
      <c r="J22" s="312">
        <f>+'ตารางที่ 4 ส่ง'!B15</f>
        <v>11702431.369442999</v>
      </c>
      <c r="K22" s="312">
        <f>+'ตารางที่ 4 ส่ง'!C15</f>
        <v>84930.981995999988</v>
      </c>
      <c r="L22" s="312">
        <f>+'ตารางที่ 4 ส่ง'!D15</f>
        <v>566417.04697499995</v>
      </c>
      <c r="M22" s="312">
        <f>+'ตารางที่ 4 ส่ง'!E15</f>
        <v>1382854.4909849998</v>
      </c>
      <c r="N22" s="319">
        <f t="shared" si="8"/>
        <v>13736633.889399</v>
      </c>
      <c r="O22" s="436">
        <v>9592</v>
      </c>
      <c r="P22" s="508" t="s">
        <v>68</v>
      </c>
      <c r="Q22" s="319">
        <f t="shared" si="5"/>
        <v>1432.092774124166</v>
      </c>
      <c r="R22" s="336">
        <v>100</v>
      </c>
      <c r="S22" s="333">
        <v>100</v>
      </c>
      <c r="T22" s="456">
        <v>100</v>
      </c>
      <c r="U22" s="9"/>
    </row>
    <row r="23" spans="1:21" s="3" customFormat="1">
      <c r="A23" s="410" t="s">
        <v>368</v>
      </c>
      <c r="B23" s="297">
        <v>0</v>
      </c>
      <c r="C23" s="297">
        <v>0</v>
      </c>
      <c r="D23" s="297">
        <v>0</v>
      </c>
      <c r="E23" s="297">
        <v>0</v>
      </c>
      <c r="F23" s="319">
        <v>0</v>
      </c>
      <c r="G23" s="507">
        <v>0</v>
      </c>
      <c r="H23" s="507">
        <v>0</v>
      </c>
      <c r="I23" s="297">
        <v>0</v>
      </c>
      <c r="J23" s="312">
        <f>+'ตารางที่ 4 ส่ง'!B16</f>
        <v>3695504.642982</v>
      </c>
      <c r="K23" s="312">
        <f>+'ตารางที่ 4 ส่ง'!C16</f>
        <v>26820.310103999996</v>
      </c>
      <c r="L23" s="312">
        <f>+'ตารางที่ 4 ส่ง'!D16</f>
        <v>178868.54114999998</v>
      </c>
      <c r="M23" s="312">
        <f>+'ตารางที่ 4 ส่ง'!E16</f>
        <v>436690.89189000003</v>
      </c>
      <c r="N23" s="319">
        <f t="shared" si="8"/>
        <v>4337884.3861259995</v>
      </c>
      <c r="O23" s="436">
        <v>87</v>
      </c>
      <c r="P23" s="508" t="s">
        <v>282</v>
      </c>
      <c r="Q23" s="319">
        <f t="shared" si="5"/>
        <v>49860.740070413791</v>
      </c>
      <c r="R23" s="336">
        <v>100</v>
      </c>
      <c r="S23" s="333">
        <v>100</v>
      </c>
      <c r="T23" s="456">
        <v>100</v>
      </c>
      <c r="U23" s="4"/>
    </row>
    <row r="24" spans="1:21" s="3" customFormat="1">
      <c r="A24" s="424" t="s">
        <v>358</v>
      </c>
      <c r="B24" s="313">
        <v>210918118.89290401</v>
      </c>
      <c r="C24" s="313">
        <v>2235267.9064000002</v>
      </c>
      <c r="D24" s="313">
        <v>13583628.186063999</v>
      </c>
      <c r="E24" s="313">
        <v>25734767.445912004</v>
      </c>
      <c r="F24" s="319">
        <f t="shared" si="2"/>
        <v>252471782.43128002</v>
      </c>
      <c r="G24" s="143">
        <v>128332</v>
      </c>
      <c r="H24" s="413" t="s">
        <v>68</v>
      </c>
      <c r="I24" s="313">
        <f t="shared" si="3"/>
        <v>1967.3330301973008</v>
      </c>
      <c r="J24" s="312">
        <f>+'ตารางที่ 4 ส่ง'!B18</f>
        <v>70214588.216657996</v>
      </c>
      <c r="K24" s="312">
        <f>+'ตารางที่ 4 ส่ง'!C18</f>
        <v>509585.89197599998</v>
      </c>
      <c r="L24" s="312">
        <f>+'ตารางที่ 4 ส่ง'!D18</f>
        <v>3398502.2818499999</v>
      </c>
      <c r="M24" s="312">
        <f>+'ตารางที่ 4 ส่ง'!E18</f>
        <v>8297126.9459100012</v>
      </c>
      <c r="N24" s="312">
        <f t="shared" si="4"/>
        <v>82419803.336393997</v>
      </c>
      <c r="O24" s="145">
        <v>260</v>
      </c>
      <c r="P24" s="426" t="s">
        <v>282</v>
      </c>
      <c r="Q24" s="314">
        <f t="shared" si="5"/>
        <v>316999.24360151537</v>
      </c>
      <c r="R24" s="538">
        <f t="shared" si="6"/>
        <v>-67.354845542460666</v>
      </c>
      <c r="S24" s="538">
        <f t="shared" si="6"/>
        <v>-99.797400492472647</v>
      </c>
      <c r="T24" s="457">
        <f t="shared" si="7"/>
        <v>16013.146007095909</v>
      </c>
      <c r="U24" s="4"/>
    </row>
    <row r="25" spans="1:21" s="8" customFormat="1">
      <c r="A25" s="427" t="s">
        <v>359</v>
      </c>
      <c r="B25" s="68">
        <v>135686178.396072</v>
      </c>
      <c r="C25" s="68">
        <v>1437974.8952000001</v>
      </c>
      <c r="D25" s="68">
        <v>8738512.399952</v>
      </c>
      <c r="E25" s="68">
        <v>16555487.337816</v>
      </c>
      <c r="F25" s="319">
        <f t="shared" si="2"/>
        <v>162418153.02904001</v>
      </c>
      <c r="G25" s="320">
        <v>12553</v>
      </c>
      <c r="H25" s="69" t="s">
        <v>68</v>
      </c>
      <c r="I25" s="297">
        <f t="shared" si="3"/>
        <v>12938.59260965825</v>
      </c>
      <c r="J25" s="312">
        <f>+'ตารางที่ 4 ส่ง'!B19</f>
        <v>139607953.17931998</v>
      </c>
      <c r="K25" s="312">
        <f>+'ตารางที่ 4 ส่ง'!C19</f>
        <v>1013211.7150399999</v>
      </c>
      <c r="L25" s="312">
        <f>+'ตารางที่ 4 ส่ง'!D19</f>
        <v>6757255.9989999998</v>
      </c>
      <c r="M25" s="312">
        <f>+'ตารางที่ 4 ส่ง'!E19</f>
        <v>16497211.4714</v>
      </c>
      <c r="N25" s="312">
        <f t="shared" si="4"/>
        <v>163875632.36475998</v>
      </c>
      <c r="O25" s="420">
        <v>10324</v>
      </c>
      <c r="P25" s="421" t="s">
        <v>68</v>
      </c>
      <c r="Q25" s="312">
        <f t="shared" si="5"/>
        <v>15873.269310805887</v>
      </c>
      <c r="R25" s="333">
        <f t="shared" si="6"/>
        <v>0.89736233822298095</v>
      </c>
      <c r="S25" s="538">
        <f t="shared" si="6"/>
        <v>-17.756711543057435</v>
      </c>
      <c r="T25" s="457">
        <f t="shared" si="7"/>
        <v>22.681575884513077</v>
      </c>
      <c r="U25" s="9"/>
    </row>
    <row r="26" spans="1:21" s="8" customFormat="1">
      <c r="A26" s="427" t="s">
        <v>360</v>
      </c>
      <c r="B26" s="68">
        <v>70865801.092997983</v>
      </c>
      <c r="C26" s="68">
        <v>751021.54179999989</v>
      </c>
      <c r="D26" s="68">
        <v>4563926.0306679998</v>
      </c>
      <c r="E26" s="68">
        <v>8646554.0303939991</v>
      </c>
      <c r="F26" s="319">
        <f t="shared" si="2"/>
        <v>84827302.695859998</v>
      </c>
      <c r="G26" s="320">
        <v>2288</v>
      </c>
      <c r="H26" s="69" t="s">
        <v>68</v>
      </c>
      <c r="I26" s="297">
        <f t="shared" si="3"/>
        <v>37074.870059379369</v>
      </c>
      <c r="J26" s="312">
        <f>+'ตารางที่ 4 ส่ง'!B20</f>
        <v>79658655.637612</v>
      </c>
      <c r="K26" s="312">
        <f>+'ตารางที่ 4 ส่ง'!C20</f>
        <v>578126.68446399993</v>
      </c>
      <c r="L26" s="312">
        <f>+'ตารางที่ 4 ส่ง'!D20</f>
        <v>3855610.7758999998</v>
      </c>
      <c r="M26" s="312">
        <f>+'ตารางที่ 4 ส่ง'!E20</f>
        <v>9413114.7807400003</v>
      </c>
      <c r="N26" s="312">
        <f t="shared" si="4"/>
        <v>93505507.878715992</v>
      </c>
      <c r="O26" s="420">
        <v>2273</v>
      </c>
      <c r="P26" s="421" t="s">
        <v>68</v>
      </c>
      <c r="Q26" s="312">
        <f t="shared" si="5"/>
        <v>41137.486968198849</v>
      </c>
      <c r="R26" s="333">
        <f t="shared" si="6"/>
        <v>10.23043867606029</v>
      </c>
      <c r="S26" s="538">
        <f t="shared" si="6"/>
        <v>-0.65559440559440563</v>
      </c>
      <c r="T26" s="457">
        <f t="shared" si="7"/>
        <v>10.957872279289893</v>
      </c>
      <c r="U26" s="9"/>
    </row>
    <row r="27" spans="1:21" s="8" customFormat="1">
      <c r="A27" s="424" t="s">
        <v>369</v>
      </c>
      <c r="B27" s="20">
        <v>308316613.28612399</v>
      </c>
      <c r="C27" s="20">
        <v>3267477.6083999998</v>
      </c>
      <c r="D27" s="20">
        <v>19856322.730583999</v>
      </c>
      <c r="E27" s="20">
        <v>37618656.871571995</v>
      </c>
      <c r="F27" s="314">
        <f t="shared" si="2"/>
        <v>369059070.49668002</v>
      </c>
      <c r="G27" s="317">
        <v>3035</v>
      </c>
      <c r="H27" s="330" t="s">
        <v>68</v>
      </c>
      <c r="I27" s="71">
        <f t="shared" si="3"/>
        <v>121601.01169577596</v>
      </c>
      <c r="J27" s="312">
        <v>0</v>
      </c>
      <c r="K27" s="312">
        <v>0</v>
      </c>
      <c r="L27" s="312">
        <v>0</v>
      </c>
      <c r="M27" s="312">
        <v>0</v>
      </c>
      <c r="N27" s="312">
        <f t="shared" si="4"/>
        <v>0</v>
      </c>
      <c r="O27" s="420">
        <v>0</v>
      </c>
      <c r="P27" s="421" t="s">
        <v>303</v>
      </c>
      <c r="Q27" s="312">
        <v>0</v>
      </c>
      <c r="R27" s="538">
        <f t="shared" si="6"/>
        <v>-99.999999999999986</v>
      </c>
      <c r="S27" s="538">
        <f t="shared" si="6"/>
        <v>-100</v>
      </c>
      <c r="T27" s="538">
        <f t="shared" si="7"/>
        <v>-100</v>
      </c>
      <c r="U27" s="9"/>
    </row>
    <row r="28" spans="1:21" s="8" customFormat="1">
      <c r="A28" s="427" t="s">
        <v>370</v>
      </c>
      <c r="B28" s="68">
        <v>147441169.09870198</v>
      </c>
      <c r="C28" s="68">
        <v>1562551.9282</v>
      </c>
      <c r="D28" s="68">
        <v>9495561.7415319998</v>
      </c>
      <c r="E28" s="68">
        <v>17989749.854706001</v>
      </c>
      <c r="F28" s="319">
        <f t="shared" si="2"/>
        <v>176489032.62313998</v>
      </c>
      <c r="G28" s="320">
        <v>42990</v>
      </c>
      <c r="H28" s="69" t="s">
        <v>68</v>
      </c>
      <c r="I28" s="297">
        <f t="shared" si="3"/>
        <v>4105.3508402684338</v>
      </c>
      <c r="J28" s="312">
        <f>+'ตารางที่ 4 ส่ง'!B21</f>
        <v>164039344.98570099</v>
      </c>
      <c r="K28" s="312">
        <f>+'ตารางที่ 4 ส่ง'!C21</f>
        <v>1190523.765172</v>
      </c>
      <c r="L28" s="312">
        <f>+'ตารางที่ 4 ส่ง'!D21</f>
        <v>7939775.7988250004</v>
      </c>
      <c r="M28" s="312">
        <f>+'ตารางที่ 4 ส่ง'!E21</f>
        <v>19384223.478895001</v>
      </c>
      <c r="N28" s="312">
        <f t="shared" si="4"/>
        <v>192553868.028593</v>
      </c>
      <c r="O28" s="420">
        <v>44001</v>
      </c>
      <c r="P28" s="421" t="s">
        <v>68</v>
      </c>
      <c r="Q28" s="312">
        <f t="shared" si="5"/>
        <v>4376.1248159949319</v>
      </c>
      <c r="R28" s="333">
        <f t="shared" si="6"/>
        <v>9.1024553575272531</v>
      </c>
      <c r="S28" s="333">
        <f t="shared" si="6"/>
        <v>2.3517096999302165</v>
      </c>
      <c r="T28" s="457">
        <f t="shared" si="7"/>
        <v>6.5956354587417714</v>
      </c>
      <c r="U28" s="9"/>
    </row>
    <row r="29" spans="1:21" s="8" customFormat="1">
      <c r="A29" s="427" t="s">
        <v>371</v>
      </c>
      <c r="B29" s="63">
        <v>383884410.66017395</v>
      </c>
      <c r="C29" s="63">
        <v>4068329.9633999998</v>
      </c>
      <c r="D29" s="63">
        <v>24723068.497883998</v>
      </c>
      <c r="E29" s="63">
        <v>46838915.908721998</v>
      </c>
      <c r="F29" s="319">
        <f t="shared" si="2"/>
        <v>459514725.03017992</v>
      </c>
      <c r="G29" s="318">
        <v>12698</v>
      </c>
      <c r="H29" s="67" t="s">
        <v>68</v>
      </c>
      <c r="I29" s="64">
        <f t="shared" si="3"/>
        <v>36187.960704849575</v>
      </c>
      <c r="J29" s="312">
        <v>0</v>
      </c>
      <c r="K29" s="312">
        <v>0</v>
      </c>
      <c r="L29" s="312">
        <v>0</v>
      </c>
      <c r="M29" s="312">
        <v>0</v>
      </c>
      <c r="N29" s="312">
        <f t="shared" si="4"/>
        <v>0</v>
      </c>
      <c r="O29" s="420">
        <v>0</v>
      </c>
      <c r="P29" s="421" t="s">
        <v>303</v>
      </c>
      <c r="Q29" s="312">
        <v>0</v>
      </c>
      <c r="R29" s="538">
        <f t="shared" si="6"/>
        <v>-100</v>
      </c>
      <c r="S29" s="538">
        <f t="shared" si="6"/>
        <v>-100</v>
      </c>
      <c r="T29" s="538">
        <f t="shared" si="7"/>
        <v>-100</v>
      </c>
      <c r="U29" s="9"/>
    </row>
    <row r="30" spans="1:21" s="8" customFormat="1">
      <c r="A30" s="428" t="s">
        <v>372</v>
      </c>
      <c r="B30" s="17">
        <v>111672411.67498501</v>
      </c>
      <c r="C30" s="17">
        <v>1183481.8135000002</v>
      </c>
      <c r="D30" s="20">
        <v>7191968.7450100007</v>
      </c>
      <c r="E30" s="20">
        <v>13625493.910455</v>
      </c>
      <c r="F30" s="314">
        <f t="shared" si="2"/>
        <v>133673356.14395002</v>
      </c>
      <c r="G30" s="316">
        <v>13</v>
      </c>
      <c r="H30" s="66" t="s">
        <v>108</v>
      </c>
      <c r="I30" s="297">
        <f t="shared" si="3"/>
        <v>10282565.857226925</v>
      </c>
      <c r="J30" s="312">
        <f>+'ตารางที่ 4 ส่ง'!B22</f>
        <v>124210017.16689499</v>
      </c>
      <c r="K30" s="312">
        <f>+'ตารางที่ 4 ส่ง'!C22</f>
        <v>901460.42293999996</v>
      </c>
      <c r="L30" s="312">
        <f>+'ตารางที่ 4 ส่ง'!D22</f>
        <v>6011970.4108750001</v>
      </c>
      <c r="M30" s="312">
        <f>+'ตารางที่ 4 ส่ง'!E22</f>
        <v>14677666.088524999</v>
      </c>
      <c r="N30" s="312">
        <f t="shared" si="4"/>
        <v>145801114.08923498</v>
      </c>
      <c r="O30" s="139">
        <v>28</v>
      </c>
      <c r="P30" s="421" t="s">
        <v>108</v>
      </c>
      <c r="Q30" s="312">
        <f>+N30/O30</f>
        <v>5207182.6460441062</v>
      </c>
      <c r="R30" s="333">
        <f t="shared" si="6"/>
        <v>9.072681568812289</v>
      </c>
      <c r="S30" s="333">
        <f t="shared" si="6"/>
        <v>115.38461538461539</v>
      </c>
      <c r="T30" s="538">
        <f t="shared" si="7"/>
        <v>-49.35911212876573</v>
      </c>
      <c r="U30" s="9"/>
    </row>
    <row r="31" spans="1:21" s="8" customFormat="1">
      <c r="A31" s="427" t="s">
        <v>373</v>
      </c>
      <c r="B31" s="297">
        <v>56256026.934014998</v>
      </c>
      <c r="C31" s="297">
        <v>596190.08649999998</v>
      </c>
      <c r="D31" s="297">
        <v>3623021.8489899999</v>
      </c>
      <c r="E31" s="297">
        <v>6863970.6165450001</v>
      </c>
      <c r="F31" s="319">
        <f t="shared" si="2"/>
        <v>67339209.486049995</v>
      </c>
      <c r="G31" s="320">
        <v>128</v>
      </c>
      <c r="H31" s="309" t="s">
        <v>72</v>
      </c>
      <c r="I31" s="64">
        <f t="shared" si="3"/>
        <v>526087.57410976558</v>
      </c>
      <c r="J31" s="312">
        <f>+'ตารางที่ 4 ส่ง'!B23</f>
        <v>61591744.049699999</v>
      </c>
      <c r="K31" s="312">
        <f>+'ตารางที่ 4 ส่ง'!C23</f>
        <v>447005.16839999997</v>
      </c>
      <c r="L31" s="312">
        <f>+'ตารางที่ 4 ส่ง'!D23</f>
        <v>2981142.3525</v>
      </c>
      <c r="M31" s="312">
        <f>+'ตารางที่ 4 ส่ง'!E23</f>
        <v>7278181.5315000005</v>
      </c>
      <c r="N31" s="312">
        <f t="shared" si="4"/>
        <v>72298073.1021</v>
      </c>
      <c r="O31" s="139">
        <v>111</v>
      </c>
      <c r="P31" s="421" t="s">
        <v>72</v>
      </c>
      <c r="Q31" s="312">
        <f>+N31/O31</f>
        <v>651333.99191081082</v>
      </c>
      <c r="R31" s="333">
        <f t="shared" si="6"/>
        <v>7.364006280883479</v>
      </c>
      <c r="S31" s="538">
        <f t="shared" si="6"/>
        <v>-13.28125</v>
      </c>
      <c r="T31" s="457">
        <f t="shared" si="7"/>
        <v>23.807142377955724</v>
      </c>
      <c r="U31" s="9"/>
    </row>
    <row r="32" spans="1:21" s="8" customFormat="1">
      <c r="A32" s="254" t="s">
        <v>374</v>
      </c>
      <c r="B32" s="17">
        <v>26196836.423003998</v>
      </c>
      <c r="C32" s="17">
        <v>277628.81640000001</v>
      </c>
      <c r="D32" s="17">
        <v>1687138.5326640001</v>
      </c>
      <c r="E32" s="17">
        <v>3196356.4662120002</v>
      </c>
      <c r="F32" s="312">
        <f t="shared" si="2"/>
        <v>31357960.238279998</v>
      </c>
      <c r="G32" s="316">
        <v>4220799</v>
      </c>
      <c r="H32" s="62" t="s">
        <v>68</v>
      </c>
      <c r="I32" s="298">
        <f t="shared" si="3"/>
        <v>7.4293896104221018</v>
      </c>
      <c r="J32" s="312">
        <f>+'ตารางที่ 4 ส่ง'!B24</f>
        <v>773592305.26423204</v>
      </c>
      <c r="K32" s="312">
        <f>+'ตารางที่ 4 ส่ง'!C24</f>
        <v>5614384.915103999</v>
      </c>
      <c r="L32" s="312">
        <f>+'ตารางที่ 4 ส่ง'!D24</f>
        <v>37443147.947399996</v>
      </c>
      <c r="M32" s="312">
        <f>+'ตารางที่ 4 ส่ง'!E24</f>
        <v>91413960.035640016</v>
      </c>
      <c r="N32" s="312">
        <f t="shared" si="4"/>
        <v>908063798.16237605</v>
      </c>
      <c r="O32" s="139">
        <v>4456177</v>
      </c>
      <c r="P32" s="421" t="s">
        <v>68</v>
      </c>
      <c r="Q32" s="312">
        <f>+N32/O32</f>
        <v>203.77642049729533</v>
      </c>
      <c r="R32" s="336">
        <f t="shared" si="6"/>
        <v>2795.7999540220858</v>
      </c>
      <c r="S32" s="336">
        <f t="shared" si="6"/>
        <v>5.5766218670919887</v>
      </c>
      <c r="T32" s="456">
        <f t="shared" si="7"/>
        <v>2642.8420258298679</v>
      </c>
      <c r="U32" s="9"/>
    </row>
    <row r="33" spans="1:21" s="8" customFormat="1">
      <c r="A33" s="311" t="s">
        <v>307</v>
      </c>
      <c r="B33" s="71"/>
      <c r="C33" s="71"/>
      <c r="D33" s="71"/>
      <c r="E33" s="71"/>
      <c r="F33" s="324"/>
      <c r="G33" s="303"/>
      <c r="H33" s="65"/>
      <c r="I33" s="71"/>
      <c r="J33" s="314"/>
      <c r="K33" s="314"/>
      <c r="L33" s="314"/>
      <c r="M33" s="314"/>
      <c r="N33" s="313"/>
      <c r="O33" s="143"/>
      <c r="P33" s="430"/>
      <c r="Q33" s="313"/>
      <c r="R33" s="188"/>
      <c r="S33" s="188"/>
      <c r="T33" s="515"/>
      <c r="U33" s="9"/>
    </row>
    <row r="34" spans="1:21" s="8" customFormat="1">
      <c r="A34" s="410" t="s">
        <v>375</v>
      </c>
      <c r="B34" s="297">
        <v>41646252.775031999</v>
      </c>
      <c r="C34" s="297">
        <v>441358.63119999995</v>
      </c>
      <c r="D34" s="297">
        <v>2682117.6673119999</v>
      </c>
      <c r="E34" s="297">
        <v>5081387.2026960002</v>
      </c>
      <c r="F34" s="319">
        <f t="shared" ref="F34" si="9">SUM(B34:E34)</f>
        <v>49851116.276239999</v>
      </c>
      <c r="G34" s="507">
        <v>15469</v>
      </c>
      <c r="H34" s="507" t="s">
        <v>68</v>
      </c>
      <c r="I34" s="297">
        <f t="shared" ref="I34" si="10">SUM(F34/G34)</f>
        <v>3222.6463427655308</v>
      </c>
      <c r="J34" s="312">
        <f>+'ตารางที่ 4 ส่ง'!B26</f>
        <v>47630948.731767997</v>
      </c>
      <c r="K34" s="312">
        <f>+'ตารางที่ 4 ส่ง'!C26</f>
        <v>345683.996896</v>
      </c>
      <c r="L34" s="312">
        <f>+'ตารางที่ 4 ส่ง'!D26</f>
        <v>2305416.7525999998</v>
      </c>
      <c r="M34" s="312">
        <f>+'ตารางที่ 4 ส่ง'!E26</f>
        <v>5628460.3843599996</v>
      </c>
      <c r="N34" s="319">
        <f>SUM(J34:M34)</f>
        <v>55910509.865623996</v>
      </c>
      <c r="O34" s="436">
        <v>15885</v>
      </c>
      <c r="P34" s="508" t="s">
        <v>68</v>
      </c>
      <c r="Q34" s="319">
        <f>+N34/O34</f>
        <v>3519.7047444522505</v>
      </c>
      <c r="R34" s="333">
        <f t="shared" si="6"/>
        <v>12.154980754707834</v>
      </c>
      <c r="S34" s="333">
        <f t="shared" si="6"/>
        <v>2.6892494666752862</v>
      </c>
      <c r="T34" s="457">
        <f t="shared" si="7"/>
        <v>9.2178405599355173</v>
      </c>
      <c r="U34" s="9"/>
    </row>
    <row r="35" spans="1:21" s="8" customFormat="1">
      <c r="A35" s="410" t="s">
        <v>376</v>
      </c>
      <c r="B35" s="297">
        <v>0</v>
      </c>
      <c r="C35" s="297">
        <v>0</v>
      </c>
      <c r="D35" s="297">
        <v>0</v>
      </c>
      <c r="E35" s="297">
        <v>0</v>
      </c>
      <c r="F35" s="319">
        <v>0</v>
      </c>
      <c r="G35" s="507">
        <v>0</v>
      </c>
      <c r="H35" s="507">
        <v>0</v>
      </c>
      <c r="I35" s="297">
        <v>0</v>
      </c>
      <c r="J35" s="312">
        <f>+'ตารางที่ 4 ส่ง'!B27</f>
        <v>13550183.690934001</v>
      </c>
      <c r="K35" s="312">
        <f>+'ตารางที่ 4 ส่ง'!C27</f>
        <v>98341.137048000004</v>
      </c>
      <c r="L35" s="312">
        <f>+'ตารางที่ 4 ส่ง'!D27</f>
        <v>655851.31755000004</v>
      </c>
      <c r="M35" s="312">
        <f>+'ตารางที่ 4 ส่ง'!E27</f>
        <v>1601199.9369300001</v>
      </c>
      <c r="N35" s="319">
        <f t="shared" ref="N35" si="11">SUM(J35:M35)</f>
        <v>15905576.082462002</v>
      </c>
      <c r="O35" s="436">
        <v>79</v>
      </c>
      <c r="P35" s="508" t="s">
        <v>282</v>
      </c>
      <c r="Q35" s="319">
        <f t="shared" ref="Q35" si="12">+N35/O35</f>
        <v>201336.40610711396</v>
      </c>
      <c r="R35" s="336">
        <v>100</v>
      </c>
      <c r="S35" s="333">
        <v>100</v>
      </c>
      <c r="T35" s="456">
        <v>100</v>
      </c>
    </row>
    <row r="36" spans="1:21" ht="24.75" thickBot="1">
      <c r="A36" s="325" t="s">
        <v>93</v>
      </c>
      <c r="B36" s="326">
        <f>+B18+B19+B24+B25+B26+B27+B28+B29+B30+B31+B32+B34</f>
        <v>1679284386.0899999</v>
      </c>
      <c r="C36" s="326">
        <f t="shared" ref="C36:E36" si="13">+C18+C19+C24+C25+C26+C27+C28+C29+C30+C31+C32+C34</f>
        <v>17796718.999999996</v>
      </c>
      <c r="D36" s="326">
        <f t="shared" si="13"/>
        <v>108149905.93999998</v>
      </c>
      <c r="E36" s="326">
        <f t="shared" si="13"/>
        <v>204894645.26999998</v>
      </c>
      <c r="F36" s="279">
        <f>SUM(B36:E36)</f>
        <v>2010125656.3</v>
      </c>
      <c r="G36" s="306">
        <f>+G18+G19+G24+G25+G26+G27+G28+G29+G32+G34</f>
        <v>4475204</v>
      </c>
      <c r="H36" s="305"/>
      <c r="I36" s="305">
        <f>+F36/G36</f>
        <v>449.16961468125248</v>
      </c>
      <c r="J36" s="305">
        <f>+J18+J19+J24+J25+J26+J27+J28+J29+J30+J31+J32+J34+J35+J20+J21+J22+J23+J16</f>
        <v>2053058134.9899995</v>
      </c>
      <c r="K36" s="305">
        <f t="shared" ref="K36:N36" si="14">+K18+K19+K24+K25+K26+K27+K28+K29+K30+K31+K32+K34+K35+K20+K21+K22+K23+K16</f>
        <v>14900172.279999999</v>
      </c>
      <c r="L36" s="305">
        <f t="shared" si="14"/>
        <v>99371411.75</v>
      </c>
      <c r="M36" s="305">
        <f t="shared" si="14"/>
        <v>242606051.05000001</v>
      </c>
      <c r="N36" s="305">
        <f t="shared" si="14"/>
        <v>2409935770.0699997</v>
      </c>
      <c r="O36" s="306">
        <f>+O18+O19+O25+O26+O27+O28+O29+O32+O34+O20+O21+O22+O16</f>
        <v>4694115</v>
      </c>
      <c r="P36" s="327"/>
      <c r="Q36" s="433">
        <f>+N36/O36</f>
        <v>513.39512774399429</v>
      </c>
      <c r="R36" s="300"/>
      <c r="S36" s="300"/>
      <c r="T36" s="328"/>
    </row>
    <row r="37" spans="1:21" ht="24.75" thickTop="1">
      <c r="B37" s="40"/>
      <c r="F37" s="27"/>
      <c r="N37" s="40"/>
    </row>
    <row r="38" spans="1:21">
      <c r="B38" s="40"/>
    </row>
  </sheetData>
  <mergeCells count="7">
    <mergeCell ref="A1:T1"/>
    <mergeCell ref="A3:T3"/>
    <mergeCell ref="A8:I8"/>
    <mergeCell ref="J8:Q8"/>
    <mergeCell ref="R8:T8"/>
    <mergeCell ref="A4:T4"/>
    <mergeCell ref="A2:T2"/>
  </mergeCells>
  <phoneticPr fontId="2" type="noConversion"/>
  <pageMargins left="0.19685039370078741" right="0.15748031496062992" top="0.6692913385826772" bottom="0.94488188976377963" header="0.86614173228346458" footer="0.15748031496062992"/>
  <pageSetup paperSize="5" scale="4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>
  <sheetPr>
    <tabColor rgb="FFFF0000"/>
  </sheetPr>
  <dimension ref="A1:N56"/>
  <sheetViews>
    <sheetView workbookViewId="0">
      <selection activeCell="B8" sqref="B8"/>
    </sheetView>
  </sheetViews>
  <sheetFormatPr defaultRowHeight="27.75"/>
  <cols>
    <col min="1" max="1" width="107.28515625" style="219" customWidth="1"/>
    <col min="2" max="2" width="51.7109375" style="208" customWidth="1"/>
    <col min="3" max="3" width="15.28515625" style="219" customWidth="1"/>
    <col min="4" max="4" width="9.140625" style="219"/>
    <col min="5" max="5" width="11.85546875" style="219" customWidth="1"/>
    <col min="6" max="6" width="11.42578125" style="219" bestFit="1" customWidth="1"/>
    <col min="7" max="7" width="16.5703125" style="219" customWidth="1"/>
    <col min="8" max="8" width="10.140625" style="219" bestFit="1" customWidth="1"/>
    <col min="9" max="9" width="16.42578125" style="219" bestFit="1" customWidth="1"/>
    <col min="10" max="13" width="9.140625" style="219"/>
    <col min="14" max="14" width="11.140625" style="219" customWidth="1"/>
    <col min="15" max="17" width="9.140625" style="219"/>
    <col min="18" max="18" width="11.7109375" style="219" customWidth="1"/>
    <col min="19" max="19" width="11.5703125" style="219" customWidth="1"/>
    <col min="20" max="20" width="12.85546875" style="219" customWidth="1"/>
    <col min="21" max="16384" width="9.140625" style="219"/>
  </cols>
  <sheetData>
    <row r="1" spans="1:14" s="113" customFormat="1">
      <c r="A1" s="212" t="s">
        <v>92</v>
      </c>
      <c r="B1" s="213"/>
    </row>
    <row r="2" spans="1:14" s="113" customFormat="1">
      <c r="A2" s="113" t="s">
        <v>274</v>
      </c>
      <c r="B2" s="213"/>
    </row>
    <row r="3" spans="1:14" s="113" customFormat="1">
      <c r="B3" s="213"/>
    </row>
    <row r="4" spans="1:14" s="213" customFormat="1">
      <c r="A4" s="558" t="s">
        <v>412</v>
      </c>
      <c r="F4" s="214"/>
      <c r="N4" s="214" t="s">
        <v>68</v>
      </c>
    </row>
    <row r="5" spans="1:14" s="213" customFormat="1">
      <c r="A5" s="559" t="s">
        <v>413</v>
      </c>
      <c r="B5" s="463"/>
      <c r="F5" s="215"/>
      <c r="N5" s="215"/>
    </row>
    <row r="6" spans="1:14" s="213" customFormat="1">
      <c r="A6" s="482" t="s">
        <v>414</v>
      </c>
      <c r="F6" s="215"/>
      <c r="N6" s="215"/>
    </row>
    <row r="7" spans="1:14" s="213" customFormat="1">
      <c r="A7" s="558" t="s">
        <v>352</v>
      </c>
      <c r="F7" s="215"/>
      <c r="N7" s="215"/>
    </row>
    <row r="8" spans="1:14" s="213" customFormat="1">
      <c r="A8" s="559" t="s">
        <v>415</v>
      </c>
      <c r="B8" s="463"/>
      <c r="F8" s="214"/>
      <c r="N8" s="214" t="s">
        <v>68</v>
      </c>
    </row>
    <row r="9" spans="1:14" s="213" customFormat="1">
      <c r="A9" s="482" t="s">
        <v>416</v>
      </c>
      <c r="F9" s="215"/>
      <c r="N9" s="215"/>
    </row>
    <row r="10" spans="1:14" s="213" customFormat="1">
      <c r="A10" s="522" t="s">
        <v>417</v>
      </c>
      <c r="F10" s="215"/>
      <c r="N10" s="215"/>
    </row>
    <row r="11" spans="1:14" s="213" customFormat="1">
      <c r="A11" s="522" t="s">
        <v>418</v>
      </c>
      <c r="F11" s="215"/>
      <c r="N11" s="215"/>
    </row>
    <row r="12" spans="1:14" s="213" customFormat="1">
      <c r="A12" s="522" t="s">
        <v>419</v>
      </c>
      <c r="B12" s="463"/>
      <c r="F12" s="214"/>
      <c r="N12" s="214" t="s">
        <v>68</v>
      </c>
    </row>
    <row r="13" spans="1:14" s="213" customFormat="1">
      <c r="A13" s="560" t="s">
        <v>353</v>
      </c>
      <c r="F13" s="215"/>
      <c r="N13" s="215"/>
    </row>
    <row r="14" spans="1:14" s="213" customFormat="1">
      <c r="A14" s="559" t="s">
        <v>420</v>
      </c>
      <c r="F14" s="215"/>
      <c r="N14" s="215"/>
    </row>
    <row r="15" spans="1:14" s="213" customFormat="1">
      <c r="A15" s="482" t="s">
        <v>421</v>
      </c>
      <c r="B15" s="463"/>
      <c r="F15" s="215"/>
      <c r="N15" s="215"/>
    </row>
    <row r="16" spans="1:14" s="213" customFormat="1">
      <c r="A16" s="522" t="s">
        <v>422</v>
      </c>
      <c r="F16" s="215"/>
      <c r="N16" s="215"/>
    </row>
    <row r="17" spans="1:14" s="213" customFormat="1">
      <c r="A17" s="560" t="s">
        <v>423</v>
      </c>
      <c r="F17" s="215"/>
      <c r="N17" s="215"/>
    </row>
    <row r="18" spans="1:14" s="213" customFormat="1">
      <c r="A18" s="559" t="s">
        <v>413</v>
      </c>
      <c r="F18" s="215"/>
      <c r="N18" s="215"/>
    </row>
    <row r="19" spans="1:14" s="213" customFormat="1">
      <c r="A19" s="482" t="s">
        <v>424</v>
      </c>
      <c r="B19" s="463"/>
      <c r="F19" s="215"/>
      <c r="N19" s="215"/>
    </row>
    <row r="20" spans="1:14" s="213" customFormat="1">
      <c r="A20" s="560" t="s">
        <v>425</v>
      </c>
      <c r="F20" s="215"/>
      <c r="N20" s="215"/>
    </row>
    <row r="21" spans="1:14" s="213" customFormat="1">
      <c r="A21" s="559" t="s">
        <v>413</v>
      </c>
      <c r="F21" s="215"/>
      <c r="N21" s="215"/>
    </row>
    <row r="22" spans="1:14" s="213" customFormat="1">
      <c r="A22" s="482" t="s">
        <v>424</v>
      </c>
      <c r="F22" s="215"/>
      <c r="N22" s="215"/>
    </row>
    <row r="23" spans="1:14" s="213" customFormat="1">
      <c r="A23" s="560" t="s">
        <v>426</v>
      </c>
      <c r="F23" s="215"/>
      <c r="N23" s="215"/>
    </row>
    <row r="24" spans="1:14" s="213" customFormat="1">
      <c r="A24" s="559" t="s">
        <v>413</v>
      </c>
      <c r="F24" s="215"/>
      <c r="N24" s="215"/>
    </row>
    <row r="25" spans="1:14" s="213" customFormat="1">
      <c r="A25" s="482" t="s">
        <v>424</v>
      </c>
      <c r="F25" s="215"/>
      <c r="N25" s="215"/>
    </row>
    <row r="26" spans="1:14" s="213" customFormat="1">
      <c r="A26" s="560" t="s">
        <v>427</v>
      </c>
      <c r="B26" s="463"/>
      <c r="F26" s="215"/>
      <c r="N26" s="215"/>
    </row>
    <row r="27" spans="1:14" s="213" customFormat="1">
      <c r="A27" s="559" t="s">
        <v>413</v>
      </c>
      <c r="F27" s="215"/>
      <c r="N27" s="215"/>
    </row>
    <row r="28" spans="1:14" s="213" customFormat="1">
      <c r="A28" s="482" t="s">
        <v>424</v>
      </c>
      <c r="F28" s="215"/>
      <c r="N28" s="215"/>
    </row>
    <row r="29" spans="1:14" s="213" customFormat="1">
      <c r="A29" s="560" t="s">
        <v>428</v>
      </c>
      <c r="F29" s="215"/>
      <c r="N29" s="215"/>
    </row>
    <row r="30" spans="1:14" s="213" customFormat="1">
      <c r="A30" s="559" t="s">
        <v>429</v>
      </c>
      <c r="F30" s="215"/>
      <c r="N30" s="215"/>
    </row>
    <row r="31" spans="1:14" s="213" customFormat="1">
      <c r="A31" s="482" t="s">
        <v>430</v>
      </c>
      <c r="B31" s="463"/>
      <c r="F31" s="215"/>
      <c r="N31" s="215"/>
    </row>
    <row r="32" spans="1:14" s="213" customFormat="1">
      <c r="A32" s="558" t="s">
        <v>379</v>
      </c>
      <c r="F32" s="215"/>
      <c r="N32" s="215"/>
    </row>
    <row r="33" spans="1:14" s="213" customFormat="1">
      <c r="A33" s="559" t="s">
        <v>343</v>
      </c>
      <c r="F33" s="215"/>
      <c r="N33" s="215"/>
    </row>
    <row r="34" spans="1:14" s="213" customFormat="1">
      <c r="A34" s="482" t="s">
        <v>377</v>
      </c>
      <c r="F34" s="215"/>
      <c r="N34" s="215"/>
    </row>
    <row r="35" spans="1:14" s="213" customFormat="1">
      <c r="A35" s="482" t="s">
        <v>378</v>
      </c>
      <c r="F35" s="215"/>
      <c r="N35" s="215"/>
    </row>
    <row r="36" spans="1:14" s="213" customFormat="1">
      <c r="A36" s="561" t="s">
        <v>431</v>
      </c>
      <c r="F36" s="215"/>
      <c r="N36" s="215"/>
    </row>
    <row r="37" spans="1:14" s="213" customFormat="1">
      <c r="A37" s="559" t="s">
        <v>432</v>
      </c>
      <c r="F37" s="215"/>
      <c r="N37" s="215"/>
    </row>
    <row r="38" spans="1:14" s="213" customFormat="1">
      <c r="A38" s="482" t="s">
        <v>433</v>
      </c>
      <c r="F38" s="215"/>
      <c r="N38" s="215"/>
    </row>
    <row r="39" spans="1:14" s="213" customFormat="1">
      <c r="A39" s="558" t="s">
        <v>434</v>
      </c>
      <c r="F39" s="215"/>
      <c r="N39" s="215"/>
    </row>
    <row r="40" spans="1:14" s="213" customFormat="1">
      <c r="A40" s="559" t="s">
        <v>435</v>
      </c>
      <c r="F40" s="215"/>
      <c r="N40" s="215"/>
    </row>
    <row r="41" spans="1:14" s="213" customFormat="1">
      <c r="A41" s="482" t="s">
        <v>436</v>
      </c>
      <c r="F41" s="215"/>
      <c r="N41" s="215"/>
    </row>
    <row r="42" spans="1:14" s="213" customFormat="1">
      <c r="A42" s="217" t="s">
        <v>437</v>
      </c>
      <c r="F42" s="215"/>
      <c r="N42" s="215"/>
    </row>
    <row r="43" spans="1:14" s="213" customFormat="1">
      <c r="A43" s="209" t="s">
        <v>438</v>
      </c>
      <c r="F43" s="215"/>
      <c r="N43" s="215"/>
    </row>
    <row r="44" spans="1:14" s="213" customFormat="1" ht="28.5">
      <c r="A44" s="209" t="s">
        <v>439</v>
      </c>
      <c r="F44" s="215"/>
      <c r="N44" s="215"/>
    </row>
    <row r="45" spans="1:14" s="213" customFormat="1">
      <c r="A45" s="209" t="s">
        <v>440</v>
      </c>
      <c r="F45" s="215"/>
      <c r="N45" s="215"/>
    </row>
    <row r="46" spans="1:14" s="213" customFormat="1">
      <c r="A46" s="562" t="s">
        <v>380</v>
      </c>
      <c r="F46" s="215"/>
      <c r="N46" s="215"/>
    </row>
    <row r="47" spans="1:14" s="213" customFormat="1">
      <c r="A47" s="209" t="s">
        <v>441</v>
      </c>
      <c r="F47" s="215"/>
      <c r="N47" s="215"/>
    </row>
    <row r="48" spans="1:14" s="213" customFormat="1" ht="28.5">
      <c r="A48" s="209" t="s">
        <v>442</v>
      </c>
      <c r="F48" s="215"/>
      <c r="N48" s="215"/>
    </row>
    <row r="49" spans="1:14" s="213" customFormat="1">
      <c r="A49" s="464" t="s">
        <v>381</v>
      </c>
      <c r="F49" s="215"/>
      <c r="N49" s="215"/>
    </row>
    <row r="50" spans="1:14" s="213" customFormat="1">
      <c r="A50" s="464" t="s">
        <v>263</v>
      </c>
      <c r="F50" s="215"/>
      <c r="N50" s="215"/>
    </row>
    <row r="51" spans="1:14" s="213" customFormat="1">
      <c r="A51" s="209" t="s">
        <v>443</v>
      </c>
      <c r="F51" s="215"/>
      <c r="N51" s="215"/>
    </row>
    <row r="52" spans="1:14" s="213" customFormat="1">
      <c r="A52" s="207" t="s">
        <v>444</v>
      </c>
      <c r="F52" s="215"/>
      <c r="N52" s="215"/>
    </row>
    <row r="53" spans="1:14" s="213" customFormat="1">
      <c r="A53" s="211" t="s">
        <v>445</v>
      </c>
      <c r="F53" s="215"/>
      <c r="N53" s="215"/>
    </row>
    <row r="54" spans="1:14" s="213" customFormat="1">
      <c r="A54" s="561" t="s">
        <v>292</v>
      </c>
      <c r="F54" s="215"/>
      <c r="N54" s="215"/>
    </row>
    <row r="55" spans="1:14" s="213" customFormat="1">
      <c r="A55" s="559" t="s">
        <v>446</v>
      </c>
      <c r="F55" s="215"/>
      <c r="N55" s="215"/>
    </row>
    <row r="56" spans="1:14" s="213" customFormat="1">
      <c r="A56" s="482" t="s">
        <v>447</v>
      </c>
      <c r="F56" s="215"/>
      <c r="N56" s="215"/>
    </row>
  </sheetData>
  <phoneticPr fontId="2" type="noConversion"/>
  <pageMargins left="0.74803149606299213" right="0.31496062992125984" top="0.31496062992125984" bottom="0.55118110236220474" header="0.19685039370078741" footer="0.19685039370078741"/>
  <pageSetup scale="90" orientation="portrait" r:id="rId1"/>
  <headerFooter alignWithMargins="0">
    <oddFooter>&amp;C&amp;P</oddFooter>
  </headerFooter>
  <rowBreaks count="1" manualBreakCount="1">
    <brk id="28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</sheetPr>
  <dimension ref="A1:Z74"/>
  <sheetViews>
    <sheetView topLeftCell="A13" workbookViewId="0">
      <selection activeCell="E28" sqref="E28"/>
    </sheetView>
  </sheetViews>
  <sheetFormatPr defaultColWidth="38.42578125" defaultRowHeight="24"/>
  <cols>
    <col min="1" max="1" width="60.42578125" style="4" customWidth="1"/>
    <col min="2" max="2" width="18.42578125" style="4" bestFit="1" customWidth="1"/>
    <col min="3" max="3" width="16.7109375" style="4" customWidth="1"/>
    <col min="4" max="4" width="16.5703125" style="4" bestFit="1" customWidth="1"/>
    <col min="5" max="5" width="16.85546875" style="4" bestFit="1" customWidth="1"/>
    <col min="6" max="6" width="18.42578125" style="4" bestFit="1" customWidth="1"/>
    <col min="7" max="7" width="13.85546875" style="4" bestFit="1" customWidth="1"/>
    <col min="8" max="8" width="7.42578125" style="4" bestFit="1" customWidth="1"/>
    <col min="9" max="9" width="14.85546875" style="4" bestFit="1" customWidth="1"/>
    <col min="10" max="10" width="18.85546875" style="4" bestFit="1" customWidth="1"/>
    <col min="11" max="11" width="16" style="4" bestFit="1" customWidth="1"/>
    <col min="12" max="13" width="16.5703125" style="4" bestFit="1" customWidth="1"/>
    <col min="14" max="14" width="18.85546875" style="4" bestFit="1" customWidth="1"/>
    <col min="15" max="15" width="11.5703125" style="4" bestFit="1" customWidth="1"/>
    <col min="16" max="16" width="9.5703125" style="4" customWidth="1"/>
    <col min="17" max="17" width="15.140625" style="4" customWidth="1"/>
    <col min="18" max="18" width="14.140625" style="27" customWidth="1"/>
    <col min="19" max="19" width="14.5703125" style="27" customWidth="1"/>
    <col min="20" max="20" width="14.140625" style="27" customWidth="1"/>
    <col min="21" max="16384" width="38.42578125" style="4"/>
  </cols>
  <sheetData>
    <row r="1" spans="1:20" s="257" customFormat="1" ht="27.75">
      <c r="A1" s="594" t="s">
        <v>177</v>
      </c>
      <c r="B1" s="594"/>
      <c r="C1" s="594"/>
      <c r="D1" s="594"/>
      <c r="E1" s="594"/>
      <c r="F1" s="594"/>
      <c r="G1" s="594"/>
      <c r="H1" s="594"/>
      <c r="I1" s="594"/>
      <c r="J1" s="594"/>
      <c r="K1" s="594"/>
      <c r="L1" s="594"/>
      <c r="M1" s="594"/>
      <c r="N1" s="594"/>
      <c r="O1" s="594"/>
      <c r="P1" s="594"/>
      <c r="Q1" s="594"/>
      <c r="R1" s="594"/>
      <c r="S1" s="594"/>
      <c r="T1" s="594"/>
    </row>
    <row r="2" spans="1:20" s="257" customFormat="1" ht="27.75">
      <c r="A2" s="594" t="s">
        <v>253</v>
      </c>
      <c r="B2" s="594"/>
      <c r="C2" s="594"/>
      <c r="D2" s="594"/>
      <c r="E2" s="594"/>
      <c r="F2" s="594"/>
      <c r="G2" s="594"/>
      <c r="H2" s="594"/>
      <c r="I2" s="594"/>
      <c r="J2" s="594"/>
      <c r="K2" s="594"/>
      <c r="L2" s="594"/>
      <c r="M2" s="594"/>
      <c r="N2" s="594"/>
      <c r="O2" s="594"/>
      <c r="P2" s="594"/>
      <c r="Q2" s="594"/>
      <c r="R2" s="594"/>
      <c r="S2" s="594"/>
      <c r="T2" s="594"/>
    </row>
    <row r="3" spans="1:20" s="257" customFormat="1" ht="20.25" customHeight="1">
      <c r="A3" s="594" t="s">
        <v>277</v>
      </c>
      <c r="B3" s="594"/>
      <c r="C3" s="594"/>
      <c r="D3" s="594"/>
      <c r="E3" s="594"/>
      <c r="F3" s="594"/>
      <c r="G3" s="594"/>
      <c r="H3" s="594"/>
      <c r="I3" s="594"/>
      <c r="J3" s="594"/>
      <c r="K3" s="594"/>
      <c r="L3" s="594"/>
      <c r="M3" s="594"/>
      <c r="N3" s="594"/>
      <c r="O3" s="594"/>
      <c r="P3" s="594"/>
      <c r="Q3" s="594"/>
      <c r="R3" s="594"/>
      <c r="S3" s="594"/>
      <c r="T3" s="594"/>
    </row>
    <row r="4" spans="1:20" s="257" customFormat="1" ht="27.75">
      <c r="A4" s="593" t="s">
        <v>280</v>
      </c>
      <c r="B4" s="593"/>
      <c r="C4" s="593"/>
      <c r="D4" s="593"/>
      <c r="E4" s="593"/>
      <c r="F4" s="593"/>
      <c r="G4" s="593"/>
      <c r="H4" s="593"/>
      <c r="I4" s="593"/>
      <c r="J4" s="593"/>
      <c r="K4" s="593"/>
      <c r="L4" s="593"/>
      <c r="M4" s="593"/>
      <c r="N4" s="593"/>
      <c r="O4" s="593"/>
      <c r="P4" s="593"/>
      <c r="Q4" s="593"/>
      <c r="R4" s="593"/>
      <c r="S4" s="593"/>
      <c r="T4" s="593"/>
    </row>
    <row r="5" spans="1:20" s="257" customFormat="1" ht="22.5" customHeight="1">
      <c r="R5" s="29"/>
      <c r="S5" s="29"/>
      <c r="T5" s="29"/>
    </row>
    <row r="6" spans="1:20" s="257" customFormat="1" ht="27.75">
      <c r="A6" s="258" t="s">
        <v>223</v>
      </c>
      <c r="R6" s="29"/>
      <c r="S6" s="29"/>
      <c r="T6" s="29"/>
    </row>
    <row r="7" spans="1:20" s="9" customFormat="1">
      <c r="A7" s="72"/>
      <c r="R7" s="24"/>
      <c r="S7" s="24"/>
      <c r="T7" s="24"/>
    </row>
    <row r="8" spans="1:20" s="192" customFormat="1" ht="30.75">
      <c r="A8" s="606" t="s">
        <v>259</v>
      </c>
      <c r="B8" s="607"/>
      <c r="C8" s="607"/>
      <c r="D8" s="607"/>
      <c r="E8" s="607"/>
      <c r="F8" s="607"/>
      <c r="G8" s="607"/>
      <c r="H8" s="607"/>
      <c r="I8" s="608"/>
      <c r="J8" s="607" t="s">
        <v>281</v>
      </c>
      <c r="K8" s="607"/>
      <c r="L8" s="607"/>
      <c r="M8" s="607"/>
      <c r="N8" s="607"/>
      <c r="O8" s="607"/>
      <c r="P8" s="607"/>
      <c r="Q8" s="608"/>
      <c r="R8" s="609" t="s">
        <v>86</v>
      </c>
      <c r="S8" s="610"/>
      <c r="T8" s="611"/>
    </row>
    <row r="9" spans="1:20" s="79" customFormat="1">
      <c r="A9" s="77" t="s">
        <v>229</v>
      </c>
      <c r="B9" s="77" t="s">
        <v>78</v>
      </c>
      <c r="C9" s="77" t="s">
        <v>80</v>
      </c>
      <c r="D9" s="77" t="s">
        <v>46</v>
      </c>
      <c r="E9" s="77" t="s">
        <v>81</v>
      </c>
      <c r="F9" s="77" t="s">
        <v>77</v>
      </c>
      <c r="G9" s="77" t="s">
        <v>63</v>
      </c>
      <c r="H9" s="77" t="s">
        <v>83</v>
      </c>
      <c r="I9" s="77" t="s">
        <v>77</v>
      </c>
      <c r="J9" s="77" t="s">
        <v>78</v>
      </c>
      <c r="K9" s="77" t="s">
        <v>80</v>
      </c>
      <c r="L9" s="77" t="s">
        <v>46</v>
      </c>
      <c r="M9" s="77" t="s">
        <v>81</v>
      </c>
      <c r="N9" s="77" t="s">
        <v>77</v>
      </c>
      <c r="O9" s="77" t="s">
        <v>63</v>
      </c>
      <c r="P9" s="77" t="s">
        <v>83</v>
      </c>
      <c r="Q9" s="77" t="s">
        <v>77</v>
      </c>
      <c r="R9" s="35" t="s">
        <v>77</v>
      </c>
      <c r="S9" s="35" t="s">
        <v>83</v>
      </c>
      <c r="T9" s="35" t="s">
        <v>77</v>
      </c>
    </row>
    <row r="10" spans="1:20" s="79" customFormat="1">
      <c r="A10" s="76"/>
      <c r="B10" s="76" t="s">
        <v>79</v>
      </c>
      <c r="C10" s="76" t="s">
        <v>79</v>
      </c>
      <c r="D10" s="76"/>
      <c r="E10" s="76" t="s">
        <v>82</v>
      </c>
      <c r="F10" s="76" t="s">
        <v>47</v>
      </c>
      <c r="G10" s="76"/>
      <c r="H10" s="76" t="s">
        <v>84</v>
      </c>
      <c r="I10" s="76" t="s">
        <v>85</v>
      </c>
      <c r="J10" s="76" t="s">
        <v>79</v>
      </c>
      <c r="K10" s="76" t="s">
        <v>79</v>
      </c>
      <c r="L10" s="76"/>
      <c r="M10" s="76" t="s">
        <v>82</v>
      </c>
      <c r="N10" s="76" t="s">
        <v>47</v>
      </c>
      <c r="O10" s="76"/>
      <c r="P10" s="76" t="s">
        <v>84</v>
      </c>
      <c r="Q10" s="76" t="s">
        <v>85</v>
      </c>
      <c r="R10" s="34" t="s">
        <v>47</v>
      </c>
      <c r="S10" s="34" t="s">
        <v>84</v>
      </c>
      <c r="T10" s="34" t="s">
        <v>85</v>
      </c>
    </row>
    <row r="11" spans="1:20" s="79" customFormat="1">
      <c r="A11" s="76"/>
      <c r="B11" s="76"/>
      <c r="C11" s="76"/>
      <c r="D11" s="76"/>
      <c r="E11" s="76"/>
      <c r="F11" s="76"/>
      <c r="G11" s="76"/>
      <c r="H11" s="76"/>
      <c r="I11" s="76"/>
      <c r="J11" s="76"/>
      <c r="K11" s="76"/>
      <c r="L11" s="76"/>
      <c r="M11" s="76"/>
      <c r="N11" s="76"/>
      <c r="O11" s="76"/>
      <c r="P11" s="76"/>
      <c r="Q11" s="76"/>
      <c r="R11" s="34" t="s">
        <v>87</v>
      </c>
      <c r="S11" s="34" t="s">
        <v>87</v>
      </c>
      <c r="T11" s="34" t="s">
        <v>87</v>
      </c>
    </row>
    <row r="12" spans="1:20" s="93" customFormat="1">
      <c r="A12" s="86"/>
      <c r="B12" s="86"/>
      <c r="C12" s="86"/>
      <c r="D12" s="86"/>
      <c r="E12" s="86"/>
      <c r="F12" s="86"/>
      <c r="G12" s="86"/>
      <c r="H12" s="86"/>
      <c r="I12" s="86"/>
      <c r="J12" s="86"/>
      <c r="K12" s="86"/>
      <c r="L12" s="86"/>
      <c r="M12" s="86"/>
      <c r="N12" s="86"/>
      <c r="O12" s="87"/>
      <c r="P12" s="86"/>
      <c r="Q12" s="86"/>
      <c r="R12" s="23" t="s">
        <v>125</v>
      </c>
      <c r="S12" s="23" t="s">
        <v>125</v>
      </c>
      <c r="T12" s="23" t="s">
        <v>125</v>
      </c>
    </row>
    <row r="13" spans="1:20" s="93" customFormat="1" ht="20.25" customHeight="1">
      <c r="A13" s="94" t="s">
        <v>149</v>
      </c>
      <c r="B13" s="94" t="s">
        <v>150</v>
      </c>
      <c r="C13" s="94" t="s">
        <v>151</v>
      </c>
      <c r="D13" s="94" t="s">
        <v>152</v>
      </c>
      <c r="E13" s="94" t="s">
        <v>174</v>
      </c>
      <c r="F13" s="94" t="s">
        <v>119</v>
      </c>
      <c r="G13" s="84" t="s">
        <v>154</v>
      </c>
      <c r="H13" s="94" t="s">
        <v>155</v>
      </c>
      <c r="I13" s="94" t="s">
        <v>120</v>
      </c>
      <c r="J13" s="94" t="s">
        <v>121</v>
      </c>
      <c r="K13" s="94" t="s">
        <v>122</v>
      </c>
      <c r="L13" s="94" t="s">
        <v>158</v>
      </c>
      <c r="M13" s="94" t="s">
        <v>159</v>
      </c>
      <c r="N13" s="84" t="s">
        <v>12</v>
      </c>
      <c r="O13" s="94" t="s">
        <v>161</v>
      </c>
      <c r="P13" s="94" t="s">
        <v>123</v>
      </c>
      <c r="Q13" s="94" t="s">
        <v>124</v>
      </c>
      <c r="R13" s="95" t="s">
        <v>17</v>
      </c>
      <c r="S13" s="95" t="s">
        <v>15</v>
      </c>
      <c r="T13" s="95" t="s">
        <v>13</v>
      </c>
    </row>
    <row r="14" spans="1:20">
      <c r="A14" s="64"/>
      <c r="B14" s="64"/>
      <c r="C14" s="64"/>
      <c r="D14" s="64"/>
      <c r="E14" s="64"/>
      <c r="F14" s="64"/>
      <c r="G14" s="64"/>
      <c r="H14" s="64"/>
      <c r="I14" s="64"/>
      <c r="J14" s="64"/>
      <c r="K14" s="64"/>
      <c r="L14" s="64"/>
      <c r="M14" s="64"/>
      <c r="N14" s="64"/>
      <c r="O14" s="64"/>
      <c r="P14" s="64"/>
      <c r="Q14" s="64"/>
      <c r="R14" s="96" t="s">
        <v>18</v>
      </c>
      <c r="S14" s="96" t="s">
        <v>16</v>
      </c>
      <c r="T14" s="96" t="s">
        <v>14</v>
      </c>
    </row>
    <row r="15" spans="1:20">
      <c r="A15" s="298" t="s">
        <v>308</v>
      </c>
      <c r="B15" s="298">
        <v>0</v>
      </c>
      <c r="C15" s="298">
        <v>0</v>
      </c>
      <c r="D15" s="298">
        <v>0</v>
      </c>
      <c r="E15" s="298">
        <v>0</v>
      </c>
      <c r="F15" s="298">
        <f>SUM(B15:E15)</f>
        <v>0</v>
      </c>
      <c r="G15" s="298">
        <v>0</v>
      </c>
      <c r="H15" s="298">
        <v>0</v>
      </c>
      <c r="I15" s="298">
        <v>0</v>
      </c>
      <c r="J15" s="298">
        <v>2053058.13</v>
      </c>
      <c r="K15" s="298">
        <v>14900.17</v>
      </c>
      <c r="L15" s="298">
        <v>99371.41</v>
      </c>
      <c r="M15" s="298">
        <v>242606.05</v>
      </c>
      <c r="N15" s="289">
        <f>SUM(J15:M15)</f>
        <v>2409935.7599999998</v>
      </c>
      <c r="O15" s="298">
        <v>589</v>
      </c>
      <c r="P15" s="66" t="s">
        <v>68</v>
      </c>
      <c r="Q15" s="298">
        <f>+N15/O15</f>
        <v>4091.5717487266552</v>
      </c>
      <c r="R15" s="336">
        <v>100</v>
      </c>
      <c r="S15" s="336">
        <v>100</v>
      </c>
      <c r="T15" s="456">
        <v>100</v>
      </c>
    </row>
    <row r="16" spans="1:20">
      <c r="A16" s="64" t="s">
        <v>309</v>
      </c>
      <c r="B16" s="64"/>
      <c r="C16" s="64"/>
      <c r="D16" s="64"/>
      <c r="E16" s="64"/>
      <c r="F16" s="64"/>
      <c r="G16" s="64"/>
      <c r="H16" s="64"/>
      <c r="I16" s="64"/>
      <c r="J16" s="64"/>
      <c r="K16" s="64"/>
      <c r="L16" s="64"/>
      <c r="M16" s="64"/>
      <c r="N16" s="187"/>
      <c r="O16" s="64"/>
      <c r="P16" s="64"/>
      <c r="Q16" s="64"/>
      <c r="R16" s="96"/>
      <c r="S16" s="96"/>
      <c r="T16" s="96"/>
    </row>
    <row r="17" spans="1:26">
      <c r="A17" s="411" t="s">
        <v>310</v>
      </c>
      <c r="B17" s="297">
        <v>186400566.85598999</v>
      </c>
      <c r="C17" s="297">
        <v>1975435.8090000004</v>
      </c>
      <c r="D17" s="297">
        <v>12004639.55934</v>
      </c>
      <c r="E17" s="297">
        <v>22743305.62497</v>
      </c>
      <c r="F17" s="298">
        <f>SUM(B17:E17)</f>
        <v>223123947.8493</v>
      </c>
      <c r="G17" s="297">
        <v>37040</v>
      </c>
      <c r="H17" s="329" t="s">
        <v>68</v>
      </c>
      <c r="I17" s="297">
        <f>+F17/G17</f>
        <v>6023.8646827564799</v>
      </c>
      <c r="J17" s="411">
        <v>546524075.52999997</v>
      </c>
      <c r="K17" s="411">
        <v>3966425.86</v>
      </c>
      <c r="L17" s="411">
        <v>26452669.809999999</v>
      </c>
      <c r="M17" s="411">
        <v>64581730.789999999</v>
      </c>
      <c r="N17" s="411">
        <f>SUM(J17:M17)</f>
        <v>641524901.98999989</v>
      </c>
      <c r="O17" s="423">
        <v>151611</v>
      </c>
      <c r="P17" s="451" t="s">
        <v>68</v>
      </c>
      <c r="Q17" s="411">
        <f>SUM(N17/O17)</f>
        <v>4231.387577352566</v>
      </c>
      <c r="R17" s="333">
        <f>SUM((N17-F17)*100/F17)</f>
        <v>187.51951916129227</v>
      </c>
      <c r="S17" s="333">
        <f>SUM((O17-G17)*100/G17)</f>
        <v>309.31695464362849</v>
      </c>
      <c r="T17" s="334">
        <f>SUM((Q17-I17)*100/I17)</f>
        <v>-29.756264454859707</v>
      </c>
    </row>
    <row r="18" spans="1:26">
      <c r="A18" s="289" t="s">
        <v>311</v>
      </c>
      <c r="B18" s="298">
        <v>0</v>
      </c>
      <c r="C18" s="298">
        <v>0</v>
      </c>
      <c r="D18" s="298">
        <v>0</v>
      </c>
      <c r="E18" s="298">
        <v>0</v>
      </c>
      <c r="F18" s="298">
        <v>0</v>
      </c>
      <c r="G18" s="298">
        <v>0</v>
      </c>
      <c r="H18" s="66">
        <v>0</v>
      </c>
      <c r="I18" s="298">
        <v>0</v>
      </c>
      <c r="J18" s="289">
        <v>30385260.399999999</v>
      </c>
      <c r="K18" s="289">
        <v>220522.55</v>
      </c>
      <c r="L18" s="289">
        <v>1470696.89</v>
      </c>
      <c r="M18" s="289">
        <v>3590569.56</v>
      </c>
      <c r="N18" s="289">
        <f>SUM(J18:M18)</f>
        <v>35667049.399999999</v>
      </c>
      <c r="O18" s="420">
        <v>13255</v>
      </c>
      <c r="P18" s="307" t="s">
        <v>68</v>
      </c>
      <c r="Q18" s="289">
        <f>SUM(N18/O18)</f>
        <v>2690.8373745756317</v>
      </c>
      <c r="R18" s="336">
        <v>100</v>
      </c>
      <c r="S18" s="336">
        <v>100</v>
      </c>
      <c r="T18" s="456">
        <v>100</v>
      </c>
    </row>
    <row r="19" spans="1:26">
      <c r="A19" s="187" t="s">
        <v>312</v>
      </c>
      <c r="B19" s="64"/>
      <c r="C19" s="64"/>
      <c r="D19" s="64"/>
      <c r="E19" s="64"/>
      <c r="F19" s="64"/>
      <c r="G19" s="64"/>
      <c r="H19" s="331"/>
      <c r="I19" s="64"/>
      <c r="J19" s="187"/>
      <c r="K19" s="187"/>
      <c r="L19" s="187"/>
      <c r="M19" s="187"/>
      <c r="N19" s="187"/>
      <c r="O19" s="516"/>
      <c r="P19" s="453"/>
      <c r="Q19" s="187"/>
      <c r="R19" s="188"/>
      <c r="S19" s="188"/>
      <c r="T19" s="515"/>
    </row>
    <row r="20" spans="1:26">
      <c r="A20" s="517" t="s">
        <v>313</v>
      </c>
      <c r="B20" s="71">
        <v>210918118.89290401</v>
      </c>
      <c r="C20" s="71">
        <v>2235267.9064000002</v>
      </c>
      <c r="D20" s="71">
        <v>13583628.186063999</v>
      </c>
      <c r="E20" s="71">
        <v>25734767.445912004</v>
      </c>
      <c r="F20" s="71">
        <f>SUM(B20:E20)</f>
        <v>252471782.43128002</v>
      </c>
      <c r="G20" s="71">
        <v>128332</v>
      </c>
      <c r="H20" s="330" t="s">
        <v>68</v>
      </c>
      <c r="I20" s="71">
        <f>+F20/G20</f>
        <v>1967.3330301973008</v>
      </c>
      <c r="J20" s="313">
        <v>0</v>
      </c>
      <c r="K20" s="313">
        <v>0</v>
      </c>
      <c r="L20" s="313">
        <v>0</v>
      </c>
      <c r="M20" s="313">
        <v>0</v>
      </c>
      <c r="N20" s="313">
        <f>SUM(J20:M20)</f>
        <v>0</v>
      </c>
      <c r="O20" s="145">
        <v>0</v>
      </c>
      <c r="P20" s="307">
        <v>0</v>
      </c>
      <c r="Q20" s="289">
        <v>0</v>
      </c>
      <c r="R20" s="450">
        <v>-100</v>
      </c>
      <c r="S20" s="450">
        <v>-100</v>
      </c>
      <c r="T20" s="450">
        <v>-100</v>
      </c>
    </row>
    <row r="21" spans="1:26">
      <c r="A21" s="517" t="s">
        <v>314</v>
      </c>
      <c r="B21" s="71"/>
      <c r="C21" s="71"/>
      <c r="D21" s="71"/>
      <c r="E21" s="71"/>
      <c r="F21" s="71"/>
      <c r="G21" s="71"/>
      <c r="H21" s="330"/>
      <c r="I21" s="71"/>
      <c r="J21" s="313"/>
      <c r="K21" s="313"/>
      <c r="L21" s="313"/>
      <c r="M21" s="313"/>
      <c r="N21" s="313"/>
      <c r="O21" s="145"/>
      <c r="P21" s="453"/>
      <c r="Q21" s="187"/>
      <c r="R21" s="509"/>
      <c r="S21" s="509"/>
      <c r="T21" s="509"/>
    </row>
    <row r="22" spans="1:26">
      <c r="A22" s="289" t="s">
        <v>315</v>
      </c>
      <c r="B22" s="298">
        <v>1240319447.5660739</v>
      </c>
      <c r="C22" s="298">
        <v>13144656.6534</v>
      </c>
      <c r="D22" s="298">
        <v>79879520.527283996</v>
      </c>
      <c r="E22" s="298">
        <v>151335184.99642199</v>
      </c>
      <c r="F22" s="298">
        <f>SUM(B22:E22)</f>
        <v>1484678809.7431798</v>
      </c>
      <c r="G22" s="513">
        <v>4294363</v>
      </c>
      <c r="H22" s="66" t="s">
        <v>68</v>
      </c>
      <c r="I22" s="298">
        <f>SUM(F22/G22)</f>
        <v>345.72736625738901</v>
      </c>
      <c r="J22" s="289">
        <v>1474095740.9200001</v>
      </c>
      <c r="K22" s="289">
        <v>10698323.699999999</v>
      </c>
      <c r="L22" s="289">
        <v>71348673.640000001</v>
      </c>
      <c r="M22" s="289">
        <v>174191144.65000001</v>
      </c>
      <c r="N22" s="289">
        <f>SUM(J22:M22)</f>
        <v>1730333882.9100003</v>
      </c>
      <c r="O22" s="139">
        <v>4528660</v>
      </c>
      <c r="P22" s="307" t="s">
        <v>68</v>
      </c>
      <c r="Q22" s="289">
        <f>SUM(N22/O22)</f>
        <v>382.08518257276995</v>
      </c>
      <c r="R22" s="336">
        <f>SUM((N22-F22)*100/F22)</f>
        <v>16.546007901150958</v>
      </c>
      <c r="S22" s="336">
        <f>SUM((O22-G22)*100/G22)</f>
        <v>5.4559197720360393</v>
      </c>
      <c r="T22" s="452">
        <f>SUM((Q22-I22)*100/I22)</f>
        <v>10.516325828922977</v>
      </c>
    </row>
    <row r="23" spans="1:26">
      <c r="A23" s="187" t="s">
        <v>316</v>
      </c>
      <c r="B23" s="64"/>
      <c r="C23" s="64"/>
      <c r="D23" s="64"/>
      <c r="E23" s="64"/>
      <c r="F23" s="64"/>
      <c r="G23" s="331"/>
      <c r="H23" s="331"/>
      <c r="I23" s="64"/>
      <c r="J23" s="187"/>
      <c r="K23" s="187"/>
      <c r="L23" s="187"/>
      <c r="M23" s="187"/>
      <c r="N23" s="187"/>
      <c r="O23" s="453"/>
      <c r="P23" s="453"/>
      <c r="Q23" s="187"/>
      <c r="R23" s="187"/>
      <c r="S23" s="187"/>
      <c r="T23" s="454"/>
    </row>
    <row r="24" spans="1:26">
      <c r="A24" s="313" t="s">
        <v>317</v>
      </c>
      <c r="B24" s="71">
        <v>41646252.775031999</v>
      </c>
      <c r="C24" s="71">
        <v>441358.63119999995</v>
      </c>
      <c r="D24" s="71">
        <v>2682117.6673119999</v>
      </c>
      <c r="E24" s="71">
        <v>5081387.2026960002</v>
      </c>
      <c r="F24" s="298">
        <f>SUM(B24:E24)</f>
        <v>49851116.276239999</v>
      </c>
      <c r="G24" s="71">
        <v>15469</v>
      </c>
      <c r="H24" s="66" t="s">
        <v>68</v>
      </c>
      <c r="I24" s="298">
        <f>SUM(F24/G24)</f>
        <v>3222.6463427655308</v>
      </c>
      <c r="J24" s="313">
        <v>0</v>
      </c>
      <c r="K24" s="313">
        <v>0</v>
      </c>
      <c r="L24" s="313">
        <v>0</v>
      </c>
      <c r="M24" s="313">
        <v>0</v>
      </c>
      <c r="N24" s="313">
        <f>SUM(J24:M24)</f>
        <v>0</v>
      </c>
      <c r="O24" s="455">
        <v>0</v>
      </c>
      <c r="P24" s="307"/>
      <c r="Q24" s="289">
        <v>0</v>
      </c>
      <c r="R24" s="450">
        <v>-100</v>
      </c>
      <c r="S24" s="450">
        <v>-100</v>
      </c>
      <c r="T24" s="450">
        <v>-100</v>
      </c>
    </row>
    <row r="25" spans="1:26">
      <c r="A25" s="313" t="s">
        <v>318</v>
      </c>
      <c r="B25" s="71"/>
      <c r="C25" s="71"/>
      <c r="D25" s="71"/>
      <c r="E25" s="71"/>
      <c r="F25" s="71"/>
      <c r="G25" s="71"/>
      <c r="I25" s="71"/>
      <c r="J25" s="313"/>
      <c r="K25" s="313"/>
      <c r="L25" s="313"/>
      <c r="M25" s="313"/>
      <c r="N25" s="313"/>
      <c r="O25" s="455"/>
      <c r="P25" s="455"/>
      <c r="Q25" s="313"/>
      <c r="R25" s="187"/>
      <c r="S25" s="187"/>
      <c r="T25" s="454"/>
    </row>
    <row r="26" spans="1:26" s="9" customFormat="1" ht="24.75" thickBot="1">
      <c r="A26" s="304" t="s">
        <v>93</v>
      </c>
      <c r="B26" s="305">
        <f t="shared" ref="B26:G26" si="0">+B17+B20+B22+B24</f>
        <v>1679284386.0899999</v>
      </c>
      <c r="C26" s="305">
        <f t="shared" si="0"/>
        <v>17796719</v>
      </c>
      <c r="D26" s="305">
        <f t="shared" si="0"/>
        <v>108149905.94</v>
      </c>
      <c r="E26" s="305">
        <f t="shared" si="0"/>
        <v>204894645.27000001</v>
      </c>
      <c r="F26" s="305">
        <f t="shared" si="0"/>
        <v>2010125656.3</v>
      </c>
      <c r="G26" s="306">
        <f t="shared" si="0"/>
        <v>4475204</v>
      </c>
      <c r="H26" s="304" t="s">
        <v>68</v>
      </c>
      <c r="I26" s="305">
        <f>SUM(F26/G26)</f>
        <v>449.16961468125248</v>
      </c>
      <c r="J26" s="305">
        <f>+J15+J17+J18+J20+J22+J24</f>
        <v>2053058134.98</v>
      </c>
      <c r="K26" s="305">
        <f>+K15+K17+K18+K20+K22+K24</f>
        <v>14900172.279999999</v>
      </c>
      <c r="L26" s="305">
        <f>+L15+L17+L18+L20+L22+L24</f>
        <v>99371411.75</v>
      </c>
      <c r="M26" s="305">
        <f>+M15+M17+M18+M20+M22+M24</f>
        <v>242606051.05000001</v>
      </c>
      <c r="N26" s="167">
        <f>+N15+N17+N18+N22</f>
        <v>2409935770.0600004</v>
      </c>
      <c r="O26" s="146">
        <f>+O15+O17+O18+O22+O24</f>
        <v>4694115</v>
      </c>
      <c r="P26" s="304" t="s">
        <v>68</v>
      </c>
      <c r="Q26" s="305">
        <f>SUM(N26/O26)</f>
        <v>513.39512774186414</v>
      </c>
      <c r="R26" s="333">
        <f>SUM((N26-F26)*100/F26)</f>
        <v>19.88980701315575</v>
      </c>
      <c r="S26" s="333">
        <f>SUM((O26-G26)*100/G26)</f>
        <v>4.891642928456446</v>
      </c>
      <c r="T26" s="458">
        <f>SUM((Q26-I26)*100/I26)</f>
        <v>14.298721676930102</v>
      </c>
    </row>
    <row r="27" spans="1:26" ht="24.75" thickTop="1">
      <c r="N27" s="55"/>
    </row>
    <row r="29" spans="1:26" s="206" customFormat="1" ht="30.75">
      <c r="A29" s="202" t="s">
        <v>180</v>
      </c>
      <c r="B29" s="203"/>
      <c r="C29" s="203"/>
      <c r="D29" s="204"/>
      <c r="E29" s="203"/>
      <c r="F29" s="203"/>
      <c r="G29" s="204"/>
      <c r="H29" s="203"/>
      <c r="I29" s="203"/>
      <c r="J29" s="203"/>
      <c r="K29" s="11"/>
      <c r="L29" s="11"/>
      <c r="M29" s="11"/>
      <c r="N29" s="32"/>
      <c r="O29" s="203"/>
      <c r="P29" s="203"/>
      <c r="Q29" s="203"/>
      <c r="R29" s="203"/>
      <c r="S29" s="203"/>
      <c r="T29" s="205"/>
      <c r="U29" s="205"/>
      <c r="V29" s="205"/>
      <c r="W29" s="205"/>
      <c r="X29" s="205"/>
      <c r="Y29" s="205"/>
      <c r="Z29" s="205"/>
    </row>
    <row r="30" spans="1:26" s="3" customFormat="1">
      <c r="A30" s="395" t="s">
        <v>94</v>
      </c>
      <c r="B30" s="27"/>
      <c r="C30" s="27"/>
      <c r="D30" s="24"/>
      <c r="E30" s="27"/>
      <c r="F30" s="27"/>
      <c r="G30" s="24"/>
      <c r="H30" s="27"/>
      <c r="I30" s="27"/>
      <c r="J30" s="27"/>
      <c r="K30" s="21"/>
      <c r="L30" s="21"/>
      <c r="M30" s="21"/>
      <c r="N30" s="27"/>
      <c r="O30" s="27"/>
      <c r="P30" s="27"/>
      <c r="Q30" s="27"/>
      <c r="R30" s="27"/>
      <c r="S30" s="27"/>
      <c r="T30" s="26"/>
      <c r="U30" s="26"/>
      <c r="V30" s="26"/>
      <c r="W30" s="26"/>
      <c r="X30" s="26"/>
      <c r="Y30" s="26"/>
      <c r="Z30" s="26"/>
    </row>
    <row r="31" spans="1:26" s="3" customFormat="1">
      <c r="A31" s="201"/>
      <c r="B31" s="27"/>
      <c r="C31" s="27"/>
      <c r="D31" s="24"/>
      <c r="E31" s="27"/>
      <c r="F31" s="27"/>
      <c r="G31" s="24"/>
      <c r="H31" s="27"/>
      <c r="I31" s="27"/>
      <c r="J31" s="27"/>
      <c r="K31" s="21"/>
      <c r="L31" s="21"/>
      <c r="M31" s="21"/>
      <c r="N31" s="27"/>
      <c r="O31" s="27"/>
      <c r="P31" s="27"/>
      <c r="Q31" s="27"/>
      <c r="R31" s="27"/>
      <c r="S31" s="27"/>
      <c r="T31" s="26"/>
      <c r="U31" s="26"/>
      <c r="V31" s="26"/>
      <c r="W31" s="26"/>
      <c r="X31" s="26"/>
      <c r="Y31" s="26"/>
      <c r="Z31" s="26"/>
    </row>
    <row r="32" spans="1:26" s="3" customFormat="1">
      <c r="A32" s="518" t="s">
        <v>319</v>
      </c>
      <c r="B32" s="27"/>
      <c r="C32" s="27"/>
      <c r="D32" s="24"/>
      <c r="E32" s="27"/>
      <c r="F32" s="27"/>
      <c r="G32" s="24"/>
      <c r="H32" s="27"/>
      <c r="I32" s="27"/>
      <c r="J32" s="27"/>
      <c r="K32" s="21"/>
      <c r="L32" s="21"/>
      <c r="M32" s="21"/>
      <c r="N32" s="27"/>
      <c r="O32" s="27"/>
      <c r="P32" s="27"/>
      <c r="Q32" s="27"/>
      <c r="R32" s="27"/>
      <c r="S32" s="27"/>
      <c r="T32" s="26"/>
      <c r="U32" s="26"/>
      <c r="V32" s="26"/>
      <c r="W32" s="26"/>
      <c r="X32" s="26"/>
      <c r="Y32" s="26"/>
      <c r="Z32" s="26"/>
    </row>
    <row r="33" spans="1:26" s="3" customFormat="1">
      <c r="A33" s="518" t="s">
        <v>276</v>
      </c>
      <c r="B33" s="27"/>
      <c r="C33" s="27"/>
      <c r="D33" s="24"/>
      <c r="E33" s="27"/>
      <c r="F33" s="27"/>
      <c r="G33" s="24"/>
      <c r="H33" s="27"/>
      <c r="I33" s="27"/>
      <c r="J33" s="27"/>
      <c r="K33" s="21"/>
      <c r="L33" s="21"/>
      <c r="M33" s="21"/>
      <c r="N33" s="27"/>
      <c r="O33" s="27"/>
      <c r="P33" s="27"/>
      <c r="Q33" s="27"/>
      <c r="R33" s="27"/>
      <c r="S33" s="27"/>
      <c r="T33" s="26"/>
      <c r="U33" s="26"/>
      <c r="V33" s="26"/>
      <c r="W33" s="26"/>
      <c r="X33" s="26"/>
      <c r="Y33" s="26"/>
      <c r="Z33" s="26"/>
    </row>
    <row r="34" spans="1:26" s="132" customFormat="1">
      <c r="A34" s="200" t="s">
        <v>320</v>
      </c>
      <c r="B34" s="55"/>
      <c r="C34" s="55"/>
      <c r="D34" s="101"/>
      <c r="E34" s="55"/>
      <c r="F34" s="55"/>
      <c r="G34" s="101"/>
      <c r="H34" s="55"/>
      <c r="I34" s="55"/>
      <c r="J34" s="55"/>
      <c r="K34" s="100"/>
      <c r="L34" s="100"/>
      <c r="M34" s="100"/>
      <c r="N34" s="55"/>
      <c r="O34" s="55"/>
      <c r="P34" s="55"/>
      <c r="Q34" s="55"/>
      <c r="R34" s="55"/>
      <c r="S34" s="55"/>
    </row>
    <row r="35" spans="1:26" s="132" customFormat="1">
      <c r="A35" s="605" t="s">
        <v>321</v>
      </c>
      <c r="B35" s="605"/>
      <c r="C35" s="605"/>
      <c r="D35" s="605"/>
      <c r="E35" s="605"/>
      <c r="F35" s="605"/>
      <c r="G35" s="605"/>
      <c r="H35" s="605"/>
      <c r="I35" s="605"/>
      <c r="J35" s="605"/>
      <c r="K35" s="100"/>
      <c r="L35" s="100"/>
      <c r="M35" s="100"/>
      <c r="N35" s="55"/>
      <c r="O35" s="55"/>
      <c r="P35" s="55"/>
      <c r="Q35" s="55"/>
      <c r="R35" s="55"/>
      <c r="S35" s="55"/>
    </row>
    <row r="36" spans="1:26" s="132" customFormat="1">
      <c r="A36" s="542" t="s">
        <v>322</v>
      </c>
      <c r="B36" s="519"/>
      <c r="C36" s="519"/>
      <c r="D36" s="519"/>
      <c r="E36" s="519"/>
      <c r="F36" s="519"/>
      <c r="G36" s="519"/>
      <c r="H36" s="519"/>
      <c r="I36" s="519"/>
      <c r="J36" s="519"/>
      <c r="K36" s="100"/>
      <c r="L36" s="100"/>
      <c r="M36" s="100"/>
      <c r="N36" s="55"/>
      <c r="O36" s="55"/>
      <c r="P36" s="55"/>
      <c r="Q36" s="55"/>
      <c r="R36" s="55"/>
      <c r="S36" s="55"/>
    </row>
    <row r="37" spans="1:26" s="132" customFormat="1">
      <c r="A37" s="542"/>
      <c r="B37" s="519"/>
      <c r="C37" s="519"/>
      <c r="D37" s="519"/>
      <c r="E37" s="519"/>
      <c r="F37" s="519"/>
      <c r="G37" s="519"/>
      <c r="H37" s="519"/>
      <c r="I37" s="519"/>
      <c r="J37" s="519"/>
      <c r="K37" s="100"/>
      <c r="L37" s="100"/>
      <c r="M37" s="100"/>
      <c r="N37" s="55"/>
      <c r="O37" s="55"/>
      <c r="P37" s="55"/>
      <c r="Q37" s="55"/>
      <c r="R37" s="55"/>
      <c r="S37" s="55"/>
    </row>
    <row r="38" spans="1:26" s="132" customFormat="1">
      <c r="A38" s="542" t="s">
        <v>448</v>
      </c>
      <c r="B38" s="519"/>
      <c r="C38" s="519"/>
      <c r="D38" s="519"/>
      <c r="E38" s="519"/>
      <c r="F38" s="519"/>
      <c r="G38" s="519"/>
      <c r="H38" s="519"/>
      <c r="I38" s="519"/>
      <c r="J38" s="519"/>
      <c r="K38" s="100"/>
      <c r="L38" s="100"/>
      <c r="M38" s="100"/>
      <c r="N38" s="55"/>
      <c r="O38" s="55"/>
      <c r="P38" s="55"/>
      <c r="Q38" s="55"/>
      <c r="R38" s="55"/>
      <c r="S38" s="55"/>
    </row>
    <row r="39" spans="1:26" s="132" customFormat="1">
      <c r="A39" s="542"/>
      <c r="B39" s="519"/>
      <c r="C39" s="519"/>
      <c r="D39" s="519"/>
      <c r="E39" s="519"/>
      <c r="F39" s="519"/>
      <c r="G39" s="519"/>
      <c r="H39" s="519"/>
      <c r="I39" s="519"/>
      <c r="J39" s="519"/>
      <c r="K39" s="100"/>
      <c r="L39" s="100"/>
      <c r="M39" s="100"/>
      <c r="N39" s="55"/>
      <c r="O39" s="55"/>
      <c r="P39" s="55"/>
      <c r="Q39" s="55"/>
      <c r="R39" s="55"/>
      <c r="S39" s="55"/>
    </row>
    <row r="40" spans="1:26" s="132" customFormat="1">
      <c r="A40" s="542" t="s">
        <v>323</v>
      </c>
      <c r="B40" s="519"/>
      <c r="C40" s="519"/>
      <c r="D40" s="519"/>
      <c r="E40" s="519"/>
      <c r="F40" s="519"/>
      <c r="G40" s="519"/>
      <c r="H40" s="519"/>
      <c r="I40" s="519"/>
      <c r="J40" s="519"/>
      <c r="K40" s="100"/>
      <c r="L40" s="100"/>
      <c r="M40" s="100"/>
      <c r="N40" s="55"/>
      <c r="O40" s="55"/>
      <c r="P40" s="55"/>
      <c r="Q40" s="55"/>
      <c r="R40" s="55"/>
      <c r="S40" s="55"/>
    </row>
    <row r="41" spans="1:26" s="132" customFormat="1">
      <c r="A41" s="200" t="s">
        <v>324</v>
      </c>
      <c r="B41" s="55"/>
      <c r="C41" s="55"/>
      <c r="D41" s="101"/>
      <c r="E41" s="55"/>
      <c r="F41" s="55"/>
      <c r="G41" s="101"/>
      <c r="H41" s="55"/>
      <c r="I41" s="55"/>
      <c r="J41" s="55"/>
      <c r="K41" s="100"/>
      <c r="L41" s="100"/>
      <c r="M41" s="100"/>
      <c r="N41" s="55"/>
      <c r="O41" s="55"/>
      <c r="P41" s="55"/>
      <c r="Q41" s="55"/>
      <c r="R41" s="55"/>
      <c r="S41" s="55"/>
    </row>
    <row r="42" spans="1:26" s="132" customFormat="1">
      <c r="A42" s="200"/>
      <c r="B42" s="55"/>
      <c r="C42" s="55"/>
      <c r="D42" s="101"/>
      <c r="E42" s="55"/>
      <c r="F42" s="55"/>
      <c r="G42" s="101"/>
      <c r="H42" s="55"/>
      <c r="I42" s="55"/>
      <c r="J42" s="55"/>
      <c r="K42" s="100"/>
      <c r="L42" s="100"/>
      <c r="M42" s="100"/>
      <c r="N42" s="55"/>
      <c r="O42" s="55"/>
      <c r="P42" s="55"/>
      <c r="Q42" s="55"/>
      <c r="R42" s="55"/>
      <c r="S42" s="55"/>
    </row>
    <row r="43" spans="1:26" s="132" customFormat="1">
      <c r="A43" s="200" t="s">
        <v>325</v>
      </c>
      <c r="B43" s="55"/>
      <c r="C43" s="55"/>
      <c r="D43" s="101"/>
      <c r="E43" s="55"/>
      <c r="F43" s="55"/>
      <c r="G43" s="101"/>
      <c r="H43" s="55"/>
      <c r="I43" s="55"/>
      <c r="J43" s="55"/>
      <c r="K43" s="100"/>
      <c r="L43" s="100"/>
      <c r="M43" s="100"/>
      <c r="N43" s="55"/>
      <c r="O43" s="55"/>
      <c r="P43" s="55"/>
      <c r="Q43" s="55"/>
      <c r="R43" s="55"/>
      <c r="S43" s="55"/>
    </row>
    <row r="44" spans="1:26" s="3" customFormat="1">
      <c r="A44" s="520" t="s">
        <v>326</v>
      </c>
      <c r="B44" s="27"/>
      <c r="C44" s="27"/>
      <c r="D44" s="24"/>
      <c r="E44" s="27"/>
      <c r="F44" s="27"/>
      <c r="G44" s="24"/>
      <c r="H44" s="27"/>
      <c r="I44" s="27"/>
      <c r="J44" s="27"/>
      <c r="K44" s="21"/>
      <c r="L44" s="21"/>
      <c r="M44" s="21"/>
      <c r="N44" s="27"/>
      <c r="O44" s="27"/>
      <c r="P44" s="27"/>
      <c r="Q44" s="27"/>
      <c r="R44" s="27"/>
      <c r="S44" s="27"/>
      <c r="T44" s="26"/>
      <c r="U44" s="26"/>
      <c r="V44" s="26"/>
      <c r="W44" s="26"/>
      <c r="X44" s="26"/>
      <c r="Y44" s="26"/>
      <c r="Z44" s="26"/>
    </row>
    <row r="45" spans="1:26" s="3" customFormat="1">
      <c r="A45" s="201"/>
      <c r="B45" s="27"/>
      <c r="C45" s="27"/>
      <c r="D45" s="24"/>
      <c r="E45" s="27"/>
      <c r="F45" s="27"/>
      <c r="G45" s="24"/>
      <c r="H45" s="27"/>
      <c r="I45" s="27"/>
      <c r="J45" s="27"/>
      <c r="K45" s="21"/>
      <c r="L45" s="21"/>
      <c r="M45" s="21"/>
      <c r="N45" s="27"/>
      <c r="O45" s="27"/>
      <c r="P45" s="27"/>
      <c r="Q45" s="27"/>
      <c r="R45" s="27"/>
      <c r="S45" s="27"/>
      <c r="T45" s="26"/>
      <c r="U45" s="26"/>
      <c r="V45" s="26"/>
      <c r="W45" s="26"/>
      <c r="X45" s="26"/>
      <c r="Y45" s="26"/>
      <c r="Z45" s="26"/>
    </row>
    <row r="46" spans="1:26" s="3" customFormat="1">
      <c r="A46" s="201"/>
      <c r="B46" s="27"/>
      <c r="C46" s="27"/>
      <c r="D46" s="24"/>
      <c r="E46" s="27"/>
      <c r="F46" s="27"/>
      <c r="G46" s="24"/>
      <c r="H46" s="27"/>
      <c r="I46" s="27"/>
      <c r="J46" s="27"/>
      <c r="K46" s="21"/>
      <c r="L46" s="21"/>
      <c r="M46" s="21"/>
      <c r="N46" s="27"/>
      <c r="O46" s="27"/>
      <c r="P46" s="27"/>
      <c r="Q46" s="27"/>
      <c r="R46" s="27"/>
      <c r="S46" s="27"/>
      <c r="T46" s="26"/>
      <c r="U46" s="26"/>
      <c r="V46" s="26"/>
      <c r="W46" s="26"/>
      <c r="X46" s="26"/>
      <c r="Y46" s="26"/>
      <c r="Z46" s="26"/>
    </row>
    <row r="47" spans="1:26" s="3" customFormat="1">
      <c r="A47" s="201"/>
      <c r="B47" s="27"/>
      <c r="C47" s="27"/>
      <c r="D47" s="24"/>
      <c r="E47" s="27"/>
      <c r="F47" s="27"/>
      <c r="G47" s="24"/>
      <c r="H47" s="27"/>
      <c r="I47" s="27"/>
      <c r="J47" s="27"/>
      <c r="K47" s="21"/>
      <c r="L47" s="21"/>
      <c r="M47" s="21"/>
      <c r="N47" s="27"/>
      <c r="O47" s="27"/>
      <c r="P47" s="27"/>
      <c r="Q47" s="27"/>
      <c r="R47" s="27"/>
      <c r="S47" s="27"/>
      <c r="T47" s="26"/>
      <c r="U47" s="26"/>
      <c r="V47" s="26"/>
      <c r="W47" s="26"/>
      <c r="X47" s="26"/>
      <c r="Y47" s="26"/>
      <c r="Z47" s="26"/>
    </row>
    <row r="48" spans="1:26" s="3" customFormat="1">
      <c r="A48" s="201"/>
      <c r="B48" s="27"/>
      <c r="C48" s="27"/>
      <c r="D48" s="24"/>
      <c r="E48" s="27"/>
      <c r="F48" s="27"/>
      <c r="G48" s="24"/>
      <c r="H48" s="27"/>
      <c r="I48" s="27"/>
      <c r="J48" s="27"/>
      <c r="K48" s="21"/>
      <c r="L48" s="21"/>
      <c r="M48" s="21"/>
      <c r="N48" s="27"/>
      <c r="O48" s="27"/>
      <c r="P48" s="27"/>
      <c r="Q48" s="27"/>
      <c r="R48" s="27"/>
      <c r="S48" s="27"/>
      <c r="T48" s="26"/>
      <c r="U48" s="26"/>
      <c r="V48" s="26"/>
      <c r="W48" s="26"/>
      <c r="X48" s="26"/>
      <c r="Y48" s="26"/>
      <c r="Z48" s="26"/>
    </row>
    <row r="49" spans="1:26" s="3" customFormat="1">
      <c r="A49" s="201"/>
      <c r="B49" s="27"/>
      <c r="C49" s="27"/>
      <c r="D49" s="24"/>
      <c r="E49" s="27"/>
      <c r="F49" s="27"/>
      <c r="G49" s="24"/>
      <c r="H49" s="27"/>
      <c r="I49" s="27"/>
      <c r="J49" s="27"/>
      <c r="K49" s="21"/>
      <c r="L49" s="21"/>
      <c r="M49" s="21"/>
      <c r="N49" s="27"/>
      <c r="O49" s="27"/>
      <c r="P49" s="27"/>
      <c r="Q49" s="27"/>
      <c r="R49" s="27"/>
      <c r="S49" s="27"/>
      <c r="T49" s="26"/>
      <c r="U49" s="26"/>
      <c r="V49" s="26"/>
      <c r="W49" s="26"/>
      <c r="X49" s="26"/>
      <c r="Y49" s="26"/>
      <c r="Z49" s="26"/>
    </row>
    <row r="50" spans="1:26" s="3" customFormat="1">
      <c r="A50" s="201"/>
      <c r="B50" s="27"/>
      <c r="C50" s="27"/>
      <c r="D50" s="24"/>
      <c r="E50" s="27"/>
      <c r="F50" s="27"/>
      <c r="G50" s="24"/>
      <c r="H50" s="27"/>
      <c r="I50" s="27"/>
      <c r="J50" s="27"/>
      <c r="K50" s="21"/>
      <c r="L50" s="21"/>
      <c r="M50" s="21"/>
      <c r="N50" s="27"/>
      <c r="O50" s="27"/>
      <c r="P50" s="27"/>
      <c r="Q50" s="27"/>
      <c r="R50" s="27"/>
      <c r="S50" s="27"/>
      <c r="T50" s="26"/>
      <c r="U50" s="26"/>
      <c r="V50" s="26"/>
      <c r="W50" s="26"/>
      <c r="X50" s="26"/>
      <c r="Y50" s="26"/>
      <c r="Z50" s="26"/>
    </row>
    <row r="51" spans="1:26" s="3" customFormat="1">
      <c r="A51" s="201"/>
      <c r="B51" s="27"/>
      <c r="C51" s="27"/>
      <c r="D51" s="24"/>
      <c r="E51" s="27"/>
      <c r="F51" s="27"/>
      <c r="G51" s="24"/>
      <c r="H51" s="27"/>
      <c r="I51" s="27"/>
      <c r="J51" s="27"/>
      <c r="K51" s="21"/>
      <c r="L51" s="21"/>
      <c r="M51" s="21"/>
      <c r="N51" s="27"/>
      <c r="O51" s="27"/>
      <c r="P51" s="27"/>
      <c r="Q51" s="27"/>
      <c r="R51" s="27"/>
      <c r="S51" s="27"/>
      <c r="T51" s="26"/>
      <c r="U51" s="26"/>
      <c r="V51" s="26"/>
      <c r="W51" s="26"/>
      <c r="X51" s="26"/>
      <c r="Y51" s="26"/>
      <c r="Z51" s="26"/>
    </row>
    <row r="52" spans="1:26" s="3" customFormat="1">
      <c r="A52" s="201"/>
      <c r="B52" s="27"/>
      <c r="C52" s="27"/>
      <c r="D52" s="24"/>
      <c r="E52" s="27"/>
      <c r="F52" s="27"/>
      <c r="G52" s="24"/>
      <c r="H52" s="27"/>
      <c r="I52" s="27"/>
      <c r="J52" s="27"/>
      <c r="K52" s="21"/>
      <c r="L52" s="21"/>
      <c r="M52" s="21"/>
      <c r="N52" s="27"/>
      <c r="O52" s="27"/>
      <c r="P52" s="27"/>
      <c r="Q52" s="27"/>
      <c r="R52" s="27"/>
      <c r="S52" s="27"/>
      <c r="T52" s="26"/>
      <c r="U52" s="26"/>
      <c r="V52" s="26"/>
      <c r="W52" s="26"/>
      <c r="X52" s="26"/>
      <c r="Y52" s="26"/>
      <c r="Z52" s="26"/>
    </row>
    <row r="53" spans="1:26" s="3" customFormat="1">
      <c r="A53" s="201"/>
      <c r="B53" s="27"/>
      <c r="C53" s="27"/>
      <c r="D53" s="24"/>
      <c r="E53" s="27"/>
      <c r="F53" s="27"/>
      <c r="G53" s="24"/>
      <c r="H53" s="27"/>
      <c r="I53" s="27"/>
      <c r="J53" s="27"/>
      <c r="K53" s="21"/>
      <c r="L53" s="21"/>
      <c r="M53" s="21"/>
      <c r="N53" s="27"/>
      <c r="O53" s="27"/>
      <c r="P53" s="27"/>
      <c r="Q53" s="27"/>
      <c r="R53" s="27"/>
      <c r="S53" s="27"/>
      <c r="T53" s="26"/>
      <c r="U53" s="26"/>
      <c r="V53" s="26"/>
      <c r="W53" s="26"/>
      <c r="X53" s="26"/>
      <c r="Y53" s="26"/>
      <c r="Z53" s="26"/>
    </row>
    <row r="54" spans="1:26" s="3" customFormat="1">
      <c r="A54" s="201"/>
      <c r="B54" s="27"/>
      <c r="C54" s="27"/>
      <c r="D54" s="24"/>
      <c r="E54" s="27"/>
      <c r="F54" s="27"/>
      <c r="G54" s="24"/>
      <c r="H54" s="27"/>
      <c r="I54" s="27"/>
      <c r="J54" s="27"/>
      <c r="K54" s="21"/>
      <c r="L54" s="21"/>
      <c r="M54" s="21"/>
      <c r="N54" s="27"/>
      <c r="O54" s="27"/>
      <c r="P54" s="27"/>
      <c r="Q54" s="27"/>
      <c r="R54" s="27"/>
      <c r="S54" s="27"/>
      <c r="T54" s="26"/>
      <c r="U54" s="26"/>
      <c r="V54" s="26"/>
      <c r="W54" s="26"/>
      <c r="X54" s="26"/>
      <c r="Y54" s="26"/>
      <c r="Z54" s="26"/>
    </row>
    <row r="55" spans="1:26" s="3" customFormat="1">
      <c r="A55" s="201"/>
      <c r="B55" s="27"/>
      <c r="C55" s="27"/>
      <c r="D55" s="24"/>
      <c r="E55" s="27"/>
      <c r="F55" s="27"/>
      <c r="G55" s="24"/>
      <c r="H55" s="27"/>
      <c r="I55" s="27"/>
      <c r="J55" s="27"/>
      <c r="K55" s="21"/>
      <c r="L55" s="21"/>
      <c r="M55" s="21"/>
      <c r="N55" s="27"/>
      <c r="O55" s="27"/>
      <c r="P55" s="27"/>
      <c r="Q55" s="27"/>
      <c r="R55" s="27"/>
      <c r="S55" s="27"/>
      <c r="T55" s="26"/>
      <c r="U55" s="26"/>
      <c r="V55" s="26"/>
      <c r="W55" s="26"/>
      <c r="X55" s="26"/>
      <c r="Y55" s="26"/>
      <c r="Z55" s="26"/>
    </row>
    <row r="56" spans="1:26" s="3" customFormat="1">
      <c r="A56" s="201"/>
      <c r="B56" s="27"/>
      <c r="C56" s="27"/>
      <c r="D56" s="24"/>
      <c r="E56" s="27"/>
      <c r="F56" s="27"/>
      <c r="G56" s="24"/>
      <c r="H56" s="27"/>
      <c r="I56" s="27"/>
      <c r="J56" s="27"/>
      <c r="K56" s="21"/>
      <c r="L56" s="21"/>
      <c r="M56" s="21"/>
      <c r="N56" s="27"/>
      <c r="O56" s="27"/>
      <c r="P56" s="27"/>
      <c r="Q56" s="27"/>
      <c r="R56" s="27"/>
      <c r="S56" s="27"/>
      <c r="T56" s="26"/>
      <c r="U56" s="26"/>
      <c r="V56" s="26"/>
      <c r="W56" s="26"/>
      <c r="X56" s="26"/>
      <c r="Y56" s="26"/>
      <c r="Z56" s="26"/>
    </row>
    <row r="57" spans="1:26" s="3" customFormat="1">
      <c r="A57" s="201"/>
      <c r="B57" s="27"/>
      <c r="C57" s="27"/>
      <c r="D57" s="24"/>
      <c r="E57" s="27"/>
      <c r="F57" s="27"/>
      <c r="G57" s="24"/>
      <c r="H57" s="27"/>
      <c r="I57" s="27"/>
      <c r="J57" s="27"/>
      <c r="K57" s="21"/>
      <c r="L57" s="21"/>
      <c r="M57" s="21"/>
      <c r="N57" s="27"/>
      <c r="O57" s="27"/>
      <c r="P57" s="27"/>
      <c r="Q57" s="27"/>
      <c r="R57" s="27"/>
      <c r="S57" s="27"/>
      <c r="T57" s="26"/>
      <c r="U57" s="26"/>
      <c r="V57" s="26"/>
      <c r="W57" s="26"/>
      <c r="X57" s="26"/>
      <c r="Y57" s="26"/>
      <c r="Z57" s="26"/>
    </row>
    <row r="58" spans="1:26" s="3" customFormat="1">
      <c r="A58" s="201"/>
      <c r="B58" s="27"/>
      <c r="C58" s="27"/>
      <c r="D58" s="24"/>
      <c r="E58" s="27"/>
      <c r="F58" s="27"/>
      <c r="G58" s="24"/>
      <c r="H58" s="27"/>
      <c r="I58" s="27"/>
      <c r="J58" s="27"/>
      <c r="K58" s="21"/>
      <c r="L58" s="21"/>
      <c r="M58" s="21"/>
      <c r="N58" s="27"/>
      <c r="O58" s="27"/>
      <c r="P58" s="27"/>
      <c r="Q58" s="27"/>
      <c r="R58" s="27"/>
      <c r="S58" s="27"/>
      <c r="T58" s="26"/>
      <c r="U58" s="26"/>
      <c r="V58" s="26"/>
      <c r="W58" s="26"/>
      <c r="X58" s="26"/>
      <c r="Y58" s="26"/>
      <c r="Z58" s="26"/>
    </row>
    <row r="59" spans="1:26" s="3" customFormat="1">
      <c r="A59" s="201"/>
      <c r="B59" s="27"/>
      <c r="C59" s="27"/>
      <c r="D59" s="24"/>
      <c r="E59" s="27"/>
      <c r="F59" s="27"/>
      <c r="G59" s="24"/>
      <c r="H59" s="27"/>
      <c r="I59" s="27"/>
      <c r="J59" s="27"/>
      <c r="K59" s="21"/>
      <c r="L59" s="21"/>
      <c r="M59" s="21"/>
      <c r="N59" s="27"/>
      <c r="O59" s="27"/>
      <c r="P59" s="27"/>
      <c r="Q59" s="27"/>
      <c r="R59" s="27"/>
      <c r="S59" s="27"/>
      <c r="T59" s="26"/>
      <c r="U59" s="26"/>
      <c r="V59" s="26"/>
      <c r="W59" s="26"/>
      <c r="X59" s="26"/>
      <c r="Y59" s="26"/>
      <c r="Z59" s="26"/>
    </row>
    <row r="60" spans="1:26" s="3" customFormat="1">
      <c r="A60" s="201"/>
      <c r="B60" s="27"/>
      <c r="C60" s="27"/>
      <c r="D60" s="24"/>
      <c r="E60" s="27"/>
      <c r="F60" s="27"/>
      <c r="G60" s="24"/>
      <c r="H60" s="27"/>
      <c r="I60" s="27"/>
      <c r="J60" s="27"/>
      <c r="K60" s="21"/>
      <c r="L60" s="21"/>
      <c r="M60" s="21"/>
      <c r="N60" s="27"/>
      <c r="O60" s="27"/>
      <c r="P60" s="27"/>
      <c r="Q60" s="27"/>
      <c r="R60" s="27"/>
      <c r="S60" s="27"/>
      <c r="T60" s="26"/>
      <c r="U60" s="26"/>
      <c r="V60" s="26"/>
      <c r="W60" s="26"/>
      <c r="X60" s="26"/>
      <c r="Y60" s="26"/>
      <c r="Z60" s="26"/>
    </row>
    <row r="61" spans="1:26" s="3" customFormat="1">
      <c r="A61" s="201"/>
      <c r="B61" s="27"/>
      <c r="C61" s="27"/>
      <c r="D61" s="24"/>
      <c r="E61" s="27"/>
      <c r="F61" s="27"/>
      <c r="G61" s="24"/>
      <c r="H61" s="27"/>
      <c r="I61" s="27"/>
      <c r="J61" s="27"/>
      <c r="K61" s="21"/>
      <c r="L61" s="21"/>
      <c r="M61" s="21"/>
      <c r="N61" s="27"/>
      <c r="O61" s="27"/>
      <c r="P61" s="27"/>
      <c r="Q61" s="27"/>
      <c r="R61" s="27"/>
      <c r="S61" s="27"/>
      <c r="T61" s="26"/>
      <c r="U61" s="26"/>
      <c r="V61" s="26"/>
      <c r="W61" s="26"/>
      <c r="X61" s="26"/>
      <c r="Y61" s="26"/>
      <c r="Z61" s="26"/>
    </row>
    <row r="62" spans="1:26" s="3" customFormat="1">
      <c r="A62" s="201"/>
      <c r="B62" s="27"/>
      <c r="C62" s="27"/>
      <c r="D62" s="24"/>
      <c r="E62" s="27"/>
      <c r="F62" s="27"/>
      <c r="G62" s="24"/>
      <c r="H62" s="27"/>
      <c r="I62" s="27"/>
      <c r="J62" s="27"/>
      <c r="K62" s="21"/>
      <c r="L62" s="21"/>
      <c r="M62" s="21"/>
      <c r="N62" s="27"/>
      <c r="O62" s="27"/>
      <c r="P62" s="27"/>
      <c r="Q62" s="27"/>
      <c r="R62" s="27"/>
      <c r="S62" s="27"/>
      <c r="T62" s="26"/>
      <c r="U62" s="26"/>
      <c r="V62" s="26"/>
      <c r="W62" s="26"/>
      <c r="X62" s="26"/>
      <c r="Y62" s="26"/>
      <c r="Z62" s="26"/>
    </row>
    <row r="63" spans="1:26" s="3" customFormat="1">
      <c r="A63" s="201"/>
      <c r="B63" s="27"/>
      <c r="C63" s="27"/>
      <c r="D63" s="24"/>
      <c r="E63" s="27"/>
      <c r="F63" s="27"/>
      <c r="G63" s="24"/>
      <c r="H63" s="27"/>
      <c r="I63" s="27"/>
      <c r="J63" s="27"/>
      <c r="K63" s="21"/>
      <c r="L63" s="21"/>
      <c r="M63" s="21"/>
      <c r="N63" s="27"/>
      <c r="O63" s="27"/>
      <c r="P63" s="27"/>
      <c r="Q63" s="27"/>
      <c r="R63" s="27"/>
      <c r="S63" s="27"/>
      <c r="T63" s="26"/>
      <c r="U63" s="26"/>
      <c r="V63" s="26"/>
      <c r="W63" s="26"/>
      <c r="X63" s="26"/>
      <c r="Y63" s="26"/>
      <c r="Z63" s="26"/>
    </row>
    <row r="64" spans="1:26" s="3" customFormat="1">
      <c r="A64" s="201"/>
      <c r="B64" s="27"/>
      <c r="C64" s="27"/>
      <c r="D64" s="24"/>
      <c r="E64" s="27"/>
      <c r="F64" s="27"/>
      <c r="G64" s="24"/>
      <c r="H64" s="27"/>
      <c r="I64" s="27"/>
      <c r="J64" s="27"/>
      <c r="K64" s="21"/>
      <c r="L64" s="21"/>
      <c r="M64" s="21"/>
      <c r="N64" s="27"/>
      <c r="O64" s="27"/>
      <c r="P64" s="27"/>
      <c r="Q64" s="27"/>
      <c r="R64" s="27"/>
      <c r="S64" s="27"/>
      <c r="T64" s="26"/>
      <c r="U64" s="26"/>
      <c r="V64" s="26"/>
      <c r="W64" s="26"/>
      <c r="X64" s="26"/>
      <c r="Y64" s="26"/>
      <c r="Z64" s="26"/>
    </row>
    <row r="65" spans="1:26" s="3" customFormat="1">
      <c r="A65" s="201"/>
      <c r="B65" s="27"/>
      <c r="C65" s="27"/>
      <c r="D65" s="24"/>
      <c r="E65" s="27"/>
      <c r="F65" s="27"/>
      <c r="G65" s="24"/>
      <c r="H65" s="27"/>
      <c r="I65" s="27"/>
      <c r="J65" s="27"/>
      <c r="K65" s="21"/>
      <c r="L65" s="21"/>
      <c r="M65" s="21"/>
      <c r="N65" s="27"/>
      <c r="O65" s="27"/>
      <c r="P65" s="27"/>
      <c r="Q65" s="27"/>
      <c r="R65" s="27"/>
      <c r="S65" s="27"/>
      <c r="T65" s="26"/>
      <c r="U65" s="26"/>
      <c r="V65" s="26"/>
      <c r="W65" s="26"/>
      <c r="X65" s="26"/>
      <c r="Y65" s="26"/>
      <c r="Z65" s="26"/>
    </row>
    <row r="66" spans="1:26" s="3" customFormat="1">
      <c r="A66" s="201"/>
      <c r="B66" s="27"/>
      <c r="C66" s="27"/>
      <c r="D66" s="24"/>
      <c r="E66" s="27"/>
      <c r="F66" s="27"/>
      <c r="G66" s="24"/>
      <c r="H66" s="27"/>
      <c r="I66" s="27"/>
      <c r="J66" s="27"/>
      <c r="K66" s="21"/>
      <c r="L66" s="21"/>
      <c r="M66" s="21"/>
      <c r="N66" s="27"/>
      <c r="O66" s="27"/>
      <c r="P66" s="27"/>
      <c r="Q66" s="27"/>
      <c r="R66" s="27"/>
      <c r="S66" s="27"/>
      <c r="T66" s="26"/>
      <c r="U66" s="26"/>
      <c r="V66" s="26"/>
      <c r="W66" s="26"/>
      <c r="X66" s="26"/>
      <c r="Y66" s="26"/>
      <c r="Z66" s="26"/>
    </row>
    <row r="67" spans="1:26" s="3" customFormat="1">
      <c r="A67" s="201"/>
      <c r="B67" s="27"/>
      <c r="C67" s="27"/>
      <c r="D67" s="24"/>
      <c r="E67" s="27"/>
      <c r="F67" s="27"/>
      <c r="G67" s="24"/>
      <c r="H67" s="27"/>
      <c r="I67" s="27"/>
      <c r="J67" s="27"/>
      <c r="K67" s="21"/>
      <c r="L67" s="21"/>
      <c r="M67" s="21"/>
      <c r="N67" s="27"/>
      <c r="O67" s="27"/>
      <c r="P67" s="27"/>
      <c r="Q67" s="27"/>
      <c r="R67" s="27"/>
      <c r="S67" s="27"/>
      <c r="T67" s="26"/>
      <c r="U67" s="26"/>
      <c r="V67" s="26"/>
      <c r="W67" s="26"/>
      <c r="X67" s="26"/>
      <c r="Y67" s="26"/>
      <c r="Z67" s="26"/>
    </row>
    <row r="68" spans="1:26" s="3" customFormat="1">
      <c r="A68" s="201"/>
      <c r="B68" s="27"/>
      <c r="C68" s="27"/>
      <c r="D68" s="24"/>
      <c r="E68" s="27"/>
      <c r="F68" s="27"/>
      <c r="G68" s="24"/>
      <c r="H68" s="27"/>
      <c r="I68" s="27"/>
      <c r="J68" s="27"/>
      <c r="K68" s="21"/>
      <c r="L68" s="21"/>
      <c r="M68" s="21"/>
      <c r="N68" s="27"/>
      <c r="O68" s="27"/>
      <c r="P68" s="27"/>
      <c r="Q68" s="27"/>
      <c r="R68" s="27"/>
      <c r="S68" s="27"/>
      <c r="T68" s="26"/>
      <c r="U68" s="26"/>
      <c r="V68" s="26"/>
      <c r="W68" s="26"/>
      <c r="X68" s="26"/>
      <c r="Y68" s="26"/>
      <c r="Z68" s="26"/>
    </row>
    <row r="69" spans="1:26" s="3" customFormat="1" ht="20.25" customHeight="1">
      <c r="A69" s="201"/>
      <c r="B69" s="27"/>
      <c r="C69" s="27"/>
      <c r="D69" s="24"/>
      <c r="E69" s="27"/>
      <c r="F69" s="27"/>
      <c r="G69" s="24"/>
      <c r="H69" s="27"/>
      <c r="I69" s="27"/>
      <c r="J69" s="27"/>
      <c r="K69" s="21"/>
      <c r="L69" s="21"/>
      <c r="M69" s="21"/>
      <c r="N69" s="27"/>
      <c r="O69" s="27"/>
      <c r="P69" s="27"/>
      <c r="Q69" s="27"/>
      <c r="R69" s="27"/>
      <c r="S69" s="27"/>
      <c r="T69" s="26"/>
      <c r="U69" s="26"/>
      <c r="V69" s="26"/>
      <c r="W69" s="26"/>
      <c r="X69" s="26"/>
      <c r="Y69" s="26"/>
      <c r="Z69" s="26"/>
    </row>
    <row r="70" spans="1:26" s="9" customFormat="1">
      <c r="A70" s="388" t="s">
        <v>183</v>
      </c>
      <c r="B70" s="388"/>
      <c r="C70" s="388"/>
      <c r="D70" s="388"/>
      <c r="E70" s="388"/>
      <c r="F70" s="388"/>
      <c r="R70" s="24"/>
      <c r="S70" s="24"/>
      <c r="T70" s="24"/>
    </row>
    <row r="71" spans="1:26" s="9" customFormat="1">
      <c r="A71" s="388" t="s">
        <v>182</v>
      </c>
      <c r="B71" s="388"/>
      <c r="C71" s="388"/>
      <c r="D71" s="388"/>
      <c r="E71" s="388"/>
      <c r="F71" s="388"/>
      <c r="R71" s="24"/>
      <c r="S71" s="24"/>
      <c r="T71" s="24"/>
    </row>
    <row r="72" spans="1:26">
      <c r="A72" s="388" t="s">
        <v>185</v>
      </c>
      <c r="B72" s="252"/>
      <c r="C72" s="252"/>
      <c r="D72" s="252"/>
      <c r="E72" s="252"/>
      <c r="F72" s="252"/>
    </row>
    <row r="73" spans="1:26" s="9" customFormat="1">
      <c r="A73" s="388" t="s">
        <v>184</v>
      </c>
      <c r="B73" s="388"/>
      <c r="C73" s="388"/>
      <c r="D73" s="388"/>
      <c r="E73" s="388"/>
      <c r="F73" s="388"/>
      <c r="R73" s="24"/>
      <c r="S73" s="24"/>
      <c r="T73" s="24"/>
    </row>
    <row r="74" spans="1:26" s="9" customFormat="1">
      <c r="A74" s="388" t="s">
        <v>186</v>
      </c>
      <c r="B74" s="388"/>
      <c r="C74" s="388"/>
      <c r="D74" s="388"/>
      <c r="E74" s="388"/>
      <c r="F74" s="388"/>
      <c r="R74" s="24"/>
      <c r="S74" s="24"/>
      <c r="T74" s="24"/>
    </row>
  </sheetData>
  <mergeCells count="8">
    <mergeCell ref="A1:T1"/>
    <mergeCell ref="A2:T2"/>
    <mergeCell ref="A3:T3"/>
    <mergeCell ref="A35:J35"/>
    <mergeCell ref="A8:I8"/>
    <mergeCell ref="J8:Q8"/>
    <mergeCell ref="R8:T8"/>
    <mergeCell ref="A4:T4"/>
  </mergeCells>
  <phoneticPr fontId="2" type="noConversion"/>
  <pageMargins left="0.27559055118110237" right="0.15748031496062992" top="0.59055118110236227" bottom="0.51" header="0.51181102362204722" footer="0.51181102362204722"/>
  <pageSetup paperSize="5" scale="50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>
  <sheetPr enableFormatConditionsCalculation="0">
    <tabColor rgb="FF92D050"/>
  </sheetPr>
  <dimension ref="A1:AA44"/>
  <sheetViews>
    <sheetView workbookViewId="0">
      <selection activeCell="A49" sqref="A49"/>
    </sheetView>
  </sheetViews>
  <sheetFormatPr defaultColWidth="9.140625" defaultRowHeight="24"/>
  <cols>
    <col min="1" max="1" width="34.85546875" style="190" customWidth="1"/>
    <col min="2" max="2" width="23.140625" style="55" customWidth="1"/>
    <col min="3" max="3" width="21.140625" style="55" customWidth="1"/>
    <col min="4" max="4" width="22.140625" style="55" customWidth="1"/>
    <col min="5" max="5" width="20.5703125" style="55" customWidth="1"/>
    <col min="6" max="6" width="21.42578125" style="101" customWidth="1"/>
    <col min="7" max="7" width="20.85546875" style="55" customWidth="1"/>
    <col min="8" max="8" width="20" style="55" customWidth="1"/>
    <col min="9" max="9" width="20.42578125" style="55" customWidth="1"/>
    <col min="10" max="10" width="19.140625" style="55" customWidth="1"/>
    <col min="11" max="11" width="19.42578125" style="101" customWidth="1"/>
    <col min="12" max="12" width="20" style="100" customWidth="1"/>
    <col min="13" max="13" width="33.85546875" style="55" customWidth="1"/>
    <col min="14" max="14" width="16.85546875" style="55" bestFit="1" customWidth="1"/>
    <col min="15" max="15" width="17.85546875" style="55" bestFit="1" customWidth="1"/>
    <col min="16" max="16" width="16.85546875" style="55" bestFit="1" customWidth="1"/>
    <col min="17" max="17" width="16.42578125" style="271" bestFit="1" customWidth="1"/>
    <col min="18" max="18" width="16.85546875" style="55" bestFit="1" customWidth="1"/>
    <col min="19" max="19" width="20" style="132" bestFit="1" customWidth="1"/>
    <col min="20" max="20" width="17.85546875" style="132" bestFit="1" customWidth="1"/>
    <col min="21" max="22" width="16" style="132" bestFit="1" customWidth="1"/>
    <col min="23" max="23" width="16.85546875" style="132" bestFit="1" customWidth="1"/>
    <col min="24" max="24" width="18.85546875" style="132" bestFit="1" customWidth="1"/>
    <col min="25" max="25" width="13.140625" style="132" bestFit="1" customWidth="1"/>
    <col min="26" max="27" width="14.140625" style="132" bestFit="1" customWidth="1"/>
    <col min="28" max="16384" width="9.140625" style="132"/>
  </cols>
  <sheetData>
    <row r="1" spans="1:27" s="100" customFormat="1">
      <c r="A1" s="615" t="s">
        <v>177</v>
      </c>
      <c r="B1" s="615"/>
      <c r="C1" s="615"/>
      <c r="D1" s="615"/>
      <c r="E1" s="615"/>
      <c r="F1" s="615"/>
      <c r="G1" s="615"/>
      <c r="H1" s="615"/>
      <c r="I1" s="615"/>
      <c r="J1" s="615"/>
      <c r="K1" s="615"/>
      <c r="L1" s="615"/>
      <c r="M1" s="615" t="s">
        <v>177</v>
      </c>
      <c r="N1" s="615"/>
      <c r="O1" s="615"/>
      <c r="P1" s="615"/>
      <c r="Q1" s="615"/>
      <c r="R1" s="615"/>
      <c r="S1" s="615"/>
      <c r="T1" s="615"/>
      <c r="U1" s="615"/>
      <c r="V1" s="615"/>
      <c r="W1" s="615"/>
      <c r="X1" s="615"/>
    </row>
    <row r="2" spans="1:27" s="100" customFormat="1">
      <c r="A2" s="615" t="s">
        <v>253</v>
      </c>
      <c r="B2" s="615"/>
      <c r="C2" s="615"/>
      <c r="D2" s="615"/>
      <c r="E2" s="615"/>
      <c r="F2" s="615"/>
      <c r="G2" s="615"/>
      <c r="H2" s="615"/>
      <c r="I2" s="615"/>
      <c r="J2" s="615"/>
      <c r="K2" s="615"/>
      <c r="L2" s="615"/>
      <c r="M2" s="615" t="s">
        <v>190</v>
      </c>
      <c r="N2" s="615"/>
      <c r="O2" s="615"/>
      <c r="P2" s="615"/>
      <c r="Q2" s="615"/>
      <c r="R2" s="615"/>
      <c r="S2" s="615"/>
      <c r="T2" s="615"/>
      <c r="U2" s="615"/>
      <c r="V2" s="615"/>
      <c r="W2" s="615"/>
      <c r="X2" s="615"/>
    </row>
    <row r="3" spans="1:27" s="100" customFormat="1">
      <c r="A3" s="615" t="s">
        <v>277</v>
      </c>
      <c r="B3" s="615"/>
      <c r="C3" s="615"/>
      <c r="D3" s="615"/>
      <c r="E3" s="615"/>
      <c r="F3" s="615"/>
      <c r="G3" s="615"/>
      <c r="H3" s="615"/>
      <c r="I3" s="615"/>
      <c r="J3" s="615"/>
      <c r="K3" s="615"/>
      <c r="L3" s="615"/>
      <c r="M3" s="615" t="s">
        <v>277</v>
      </c>
      <c r="N3" s="615"/>
      <c r="O3" s="615"/>
      <c r="P3" s="615"/>
      <c r="Q3" s="615"/>
      <c r="R3" s="615"/>
      <c r="S3" s="615"/>
      <c r="T3" s="615"/>
      <c r="U3" s="615"/>
      <c r="V3" s="615"/>
      <c r="W3" s="615"/>
      <c r="X3" s="615"/>
    </row>
    <row r="4" spans="1:27" s="100" customFormat="1">
      <c r="A4" s="615" t="s">
        <v>344</v>
      </c>
      <c r="B4" s="615"/>
      <c r="C4" s="615"/>
      <c r="D4" s="615"/>
      <c r="E4" s="615"/>
      <c r="F4" s="615"/>
      <c r="G4" s="615"/>
      <c r="H4" s="615"/>
      <c r="I4" s="615"/>
      <c r="J4" s="615"/>
      <c r="K4" s="615"/>
      <c r="L4" s="615"/>
      <c r="M4" s="615" t="s">
        <v>304</v>
      </c>
      <c r="N4" s="615"/>
      <c r="O4" s="615"/>
      <c r="P4" s="615"/>
      <c r="Q4" s="615"/>
      <c r="R4" s="615"/>
      <c r="S4" s="615"/>
      <c r="T4" s="615"/>
      <c r="U4" s="615"/>
      <c r="V4" s="615"/>
      <c r="W4" s="615"/>
      <c r="X4" s="615"/>
      <c r="Y4" s="530"/>
      <c r="Z4" s="530"/>
      <c r="AA4" s="530"/>
    </row>
    <row r="5" spans="1:27" s="100" customFormat="1">
      <c r="A5" s="265" t="s">
        <v>224</v>
      </c>
      <c r="B5" s="101"/>
      <c r="C5" s="101"/>
      <c r="D5" s="101"/>
      <c r="E5" s="101"/>
      <c r="F5" s="101"/>
      <c r="G5" s="101"/>
      <c r="H5" s="101"/>
      <c r="I5" s="101"/>
      <c r="J5" s="101"/>
      <c r="K5" s="101"/>
      <c r="M5" s="265" t="s">
        <v>224</v>
      </c>
      <c r="N5" s="101"/>
      <c r="O5" s="101"/>
      <c r="P5" s="101"/>
      <c r="Q5" s="270"/>
      <c r="R5" s="101"/>
      <c r="S5" s="101"/>
      <c r="T5" s="101"/>
      <c r="U5" s="101"/>
      <c r="V5" s="101"/>
      <c r="W5" s="101"/>
    </row>
    <row r="6" spans="1:27" s="100" customFormat="1" ht="20.25" customHeight="1">
      <c r="A6" s="169"/>
      <c r="B6" s="101"/>
      <c r="C6" s="101"/>
      <c r="D6" s="101"/>
      <c r="E6" s="101"/>
      <c r="F6" s="101"/>
      <c r="G6" s="101"/>
      <c r="H6" s="101"/>
      <c r="I6" s="101"/>
      <c r="J6" s="101"/>
      <c r="K6" s="616" t="s">
        <v>51</v>
      </c>
      <c r="L6" s="616"/>
      <c r="M6" s="169"/>
      <c r="N6" s="101"/>
      <c r="O6" s="101"/>
      <c r="P6" s="101"/>
      <c r="Q6" s="270"/>
      <c r="R6" s="101"/>
      <c r="S6" s="101"/>
      <c r="T6" s="101"/>
      <c r="U6" s="101"/>
      <c r="V6" s="101"/>
      <c r="W6" s="101"/>
      <c r="Y6" s="530"/>
      <c r="Z6" s="616" t="s">
        <v>51</v>
      </c>
      <c r="AA6" s="616"/>
    </row>
    <row r="7" spans="1:27" s="191" customFormat="1" ht="30.75">
      <c r="A7" s="195"/>
      <c r="B7" s="613" t="s">
        <v>260</v>
      </c>
      <c r="C7" s="613"/>
      <c r="D7" s="613"/>
      <c r="E7" s="613"/>
      <c r="F7" s="613"/>
      <c r="G7" s="613"/>
      <c r="H7" s="613"/>
      <c r="I7" s="613"/>
      <c r="J7" s="613"/>
      <c r="K7" s="613"/>
      <c r="L7" s="614"/>
      <c r="M7" s="195"/>
      <c r="N7" s="613" t="s">
        <v>306</v>
      </c>
      <c r="O7" s="613"/>
      <c r="P7" s="613"/>
      <c r="Q7" s="613"/>
      <c r="R7" s="613"/>
      <c r="S7" s="613"/>
      <c r="T7" s="613"/>
      <c r="U7" s="613"/>
      <c r="V7" s="613"/>
      <c r="W7" s="613"/>
      <c r="X7" s="614"/>
      <c r="Y7" s="196"/>
      <c r="Z7" s="196"/>
      <c r="AA7" s="196"/>
    </row>
    <row r="8" spans="1:27" s="191" customFormat="1" ht="30.75">
      <c r="A8" s="197"/>
      <c r="B8" s="612" t="s">
        <v>126</v>
      </c>
      <c r="C8" s="613"/>
      <c r="D8" s="613"/>
      <c r="E8" s="613"/>
      <c r="F8" s="614"/>
      <c r="G8" s="612" t="s">
        <v>127</v>
      </c>
      <c r="H8" s="613"/>
      <c r="I8" s="613"/>
      <c r="J8" s="613"/>
      <c r="K8" s="614"/>
      <c r="L8" s="196"/>
      <c r="M8" s="197"/>
      <c r="N8" s="612" t="s">
        <v>126</v>
      </c>
      <c r="O8" s="613"/>
      <c r="P8" s="613"/>
      <c r="Q8" s="613"/>
      <c r="R8" s="614"/>
      <c r="S8" s="612" t="s">
        <v>127</v>
      </c>
      <c r="T8" s="613"/>
      <c r="U8" s="613"/>
      <c r="V8" s="613"/>
      <c r="W8" s="614"/>
      <c r="X8" s="196"/>
      <c r="Y8" s="198" t="s">
        <v>77</v>
      </c>
      <c r="Z8" s="198" t="s">
        <v>77</v>
      </c>
      <c r="AA8" s="198" t="s">
        <v>77</v>
      </c>
    </row>
    <row r="9" spans="1:27" s="530" customFormat="1">
      <c r="A9" s="171" t="s">
        <v>56</v>
      </c>
      <c r="B9" s="172" t="s">
        <v>112</v>
      </c>
      <c r="C9" s="173" t="s">
        <v>109</v>
      </c>
      <c r="D9" s="172" t="s">
        <v>114</v>
      </c>
      <c r="E9" s="173" t="s">
        <v>128</v>
      </c>
      <c r="F9" s="172" t="s">
        <v>47</v>
      </c>
      <c r="G9" s="172" t="s">
        <v>112</v>
      </c>
      <c r="H9" s="172" t="s">
        <v>109</v>
      </c>
      <c r="I9" s="172" t="s">
        <v>110</v>
      </c>
      <c r="J9" s="172" t="s">
        <v>111</v>
      </c>
      <c r="K9" s="172" t="s">
        <v>47</v>
      </c>
      <c r="L9" s="171" t="s">
        <v>62</v>
      </c>
      <c r="M9" s="171" t="s">
        <v>56</v>
      </c>
      <c r="N9" s="172" t="s">
        <v>112</v>
      </c>
      <c r="O9" s="173" t="s">
        <v>109</v>
      </c>
      <c r="P9" s="172" t="s">
        <v>114</v>
      </c>
      <c r="Q9" s="173" t="s">
        <v>128</v>
      </c>
      <c r="R9" s="172" t="s">
        <v>47</v>
      </c>
      <c r="S9" s="172" t="s">
        <v>112</v>
      </c>
      <c r="T9" s="172" t="s">
        <v>109</v>
      </c>
      <c r="U9" s="172" t="s">
        <v>110</v>
      </c>
      <c r="V9" s="172" t="s">
        <v>111</v>
      </c>
      <c r="W9" s="172" t="s">
        <v>47</v>
      </c>
      <c r="X9" s="171" t="s">
        <v>62</v>
      </c>
      <c r="Y9" s="171" t="s">
        <v>129</v>
      </c>
      <c r="Z9" s="171" t="s">
        <v>130</v>
      </c>
      <c r="AA9" s="171" t="s">
        <v>139</v>
      </c>
    </row>
    <row r="10" spans="1:27" s="100" customFormat="1">
      <c r="A10" s="170"/>
      <c r="B10" s="172" t="s">
        <v>113</v>
      </c>
      <c r="C10" s="172" t="s">
        <v>140</v>
      </c>
      <c r="D10" s="172" t="s">
        <v>143</v>
      </c>
      <c r="E10" s="174"/>
      <c r="F10" s="54"/>
      <c r="G10" s="172" t="s">
        <v>113</v>
      </c>
      <c r="H10" s="172" t="s">
        <v>141</v>
      </c>
      <c r="I10" s="174"/>
      <c r="J10" s="172" t="s">
        <v>142</v>
      </c>
      <c r="K10" s="174"/>
      <c r="L10" s="175"/>
      <c r="M10" s="170"/>
      <c r="N10" s="172" t="s">
        <v>113</v>
      </c>
      <c r="O10" s="172" t="s">
        <v>140</v>
      </c>
      <c r="P10" s="172" t="s">
        <v>143</v>
      </c>
      <c r="Q10" s="269"/>
      <c r="R10" s="54"/>
      <c r="S10" s="172" t="s">
        <v>113</v>
      </c>
      <c r="T10" s="172" t="s">
        <v>141</v>
      </c>
      <c r="U10" s="174"/>
      <c r="V10" s="174" t="s">
        <v>142</v>
      </c>
      <c r="W10" s="174"/>
      <c r="X10" s="175"/>
      <c r="Y10" s="171" t="s">
        <v>144</v>
      </c>
      <c r="Z10" s="171" t="s">
        <v>145</v>
      </c>
      <c r="AA10" s="171" t="s">
        <v>144</v>
      </c>
    </row>
    <row r="11" spans="1:27" s="100" customFormat="1">
      <c r="A11" s="170"/>
      <c r="B11" s="172" t="s">
        <v>140</v>
      </c>
      <c r="C11" s="174"/>
      <c r="D11" s="172" t="s">
        <v>147</v>
      </c>
      <c r="E11" s="174"/>
      <c r="F11" s="54"/>
      <c r="G11" s="172" t="s">
        <v>146</v>
      </c>
      <c r="H11" s="172"/>
      <c r="I11" s="174"/>
      <c r="J11" s="174"/>
      <c r="K11" s="174"/>
      <c r="L11" s="175"/>
      <c r="M11" s="170"/>
      <c r="N11" s="172" t="s">
        <v>140</v>
      </c>
      <c r="O11" s="174"/>
      <c r="P11" s="172" t="s">
        <v>147</v>
      </c>
      <c r="Q11" s="269"/>
      <c r="R11" s="54"/>
      <c r="S11" s="172" t="s">
        <v>146</v>
      </c>
      <c r="T11" s="172"/>
      <c r="U11" s="174"/>
      <c r="V11" s="174"/>
      <c r="W11" s="174"/>
      <c r="X11" s="175"/>
      <c r="Y11" s="175"/>
      <c r="Z11" s="171" t="s">
        <v>144</v>
      </c>
      <c r="AA11" s="175"/>
    </row>
    <row r="12" spans="1:27" s="100" customFormat="1">
      <c r="A12" s="170"/>
      <c r="B12" s="172"/>
      <c r="C12" s="174"/>
      <c r="D12" s="172"/>
      <c r="E12" s="174"/>
      <c r="F12" s="54"/>
      <c r="G12" s="172" t="s">
        <v>148</v>
      </c>
      <c r="H12" s="172"/>
      <c r="I12" s="174"/>
      <c r="J12" s="174"/>
      <c r="K12" s="174"/>
      <c r="L12" s="175"/>
      <c r="M12" s="170"/>
      <c r="N12" s="172"/>
      <c r="O12" s="174"/>
      <c r="P12" s="172"/>
      <c r="Q12" s="269"/>
      <c r="R12" s="54"/>
      <c r="S12" s="172" t="s">
        <v>148</v>
      </c>
      <c r="T12" s="172">
        <f>+T14+P14</f>
        <v>806418235.96999943</v>
      </c>
      <c r="U12" s="174"/>
      <c r="V12" s="174"/>
      <c r="W12" s="174"/>
      <c r="X12" s="175"/>
      <c r="Y12" s="176"/>
      <c r="Z12" s="176"/>
      <c r="AA12" s="176"/>
    </row>
    <row r="13" spans="1:27" s="178" customFormat="1">
      <c r="A13" s="177"/>
      <c r="B13" s="177" t="s">
        <v>149</v>
      </c>
      <c r="C13" s="177" t="s">
        <v>150</v>
      </c>
      <c r="D13" s="177" t="s">
        <v>151</v>
      </c>
      <c r="E13" s="177" t="s">
        <v>152</v>
      </c>
      <c r="F13" s="177" t="s">
        <v>39</v>
      </c>
      <c r="G13" s="177" t="s">
        <v>153</v>
      </c>
      <c r="H13" s="177" t="s">
        <v>154</v>
      </c>
      <c r="I13" s="177" t="s">
        <v>155</v>
      </c>
      <c r="J13" s="177" t="s">
        <v>156</v>
      </c>
      <c r="K13" s="177" t="s">
        <v>35</v>
      </c>
      <c r="L13" s="177" t="s">
        <v>157</v>
      </c>
      <c r="M13" s="177"/>
      <c r="N13" s="177" t="s">
        <v>158</v>
      </c>
      <c r="O13" s="177" t="s">
        <v>159</v>
      </c>
      <c r="P13" s="177" t="s">
        <v>160</v>
      </c>
      <c r="Q13" s="177" t="s">
        <v>161</v>
      </c>
      <c r="R13" s="177" t="s">
        <v>26</v>
      </c>
      <c r="S13" s="177" t="s">
        <v>164</v>
      </c>
      <c r="T13" s="177" t="s">
        <v>165</v>
      </c>
      <c r="U13" s="177" t="s">
        <v>166</v>
      </c>
      <c r="V13" s="177" t="s">
        <v>167</v>
      </c>
      <c r="W13" s="177" t="s">
        <v>25</v>
      </c>
      <c r="X13" s="177" t="s">
        <v>162</v>
      </c>
      <c r="Y13" s="177" t="s">
        <v>30</v>
      </c>
      <c r="Z13" s="177" t="s">
        <v>32</v>
      </c>
      <c r="AA13" s="177" t="s">
        <v>38</v>
      </c>
    </row>
    <row r="14" spans="1:27" s="186" customFormat="1">
      <c r="A14" s="179"/>
      <c r="B14" s="180"/>
      <c r="C14" s="180"/>
      <c r="D14" s="180"/>
      <c r="E14" s="180"/>
      <c r="F14" s="181" t="s">
        <v>40</v>
      </c>
      <c r="G14" s="180"/>
      <c r="H14" s="180"/>
      <c r="I14" s="180"/>
      <c r="J14" s="180"/>
      <c r="K14" s="181" t="s">
        <v>36</v>
      </c>
      <c r="L14" s="182"/>
      <c r="M14" s="180"/>
      <c r="N14" s="187"/>
      <c r="O14" s="187">
        <f>+P14+Q14</f>
        <v>794272784.31999922</v>
      </c>
      <c r="P14" s="187">
        <v>144189554.87</v>
      </c>
      <c r="Q14" s="187">
        <v>650083229.44999921</v>
      </c>
      <c r="R14" s="181" t="s">
        <v>27</v>
      </c>
      <c r="S14" s="187"/>
      <c r="T14" s="187">
        <f>+V14+U14</f>
        <v>662228681.09999943</v>
      </c>
      <c r="U14" s="187">
        <v>112173003.80000001</v>
      </c>
      <c r="V14" s="187">
        <v>550055677.29999948</v>
      </c>
      <c r="W14" s="184" t="s">
        <v>28</v>
      </c>
      <c r="X14" s="183"/>
      <c r="Y14" s="185" t="s">
        <v>29</v>
      </c>
      <c r="Z14" s="185" t="s">
        <v>31</v>
      </c>
      <c r="AA14" s="185" t="s">
        <v>37</v>
      </c>
    </row>
    <row r="15" spans="1:27" s="100" customFormat="1">
      <c r="A15" s="332" t="s">
        <v>57</v>
      </c>
      <c r="B15" s="333">
        <f t="shared" ref="B15:L15" si="0">SUM(B16+B18+B20+B24+B25)</f>
        <v>290686498.56</v>
      </c>
      <c r="C15" s="333">
        <f t="shared" si="0"/>
        <v>12115678.290000001</v>
      </c>
      <c r="D15" s="333">
        <f t="shared" si="0"/>
        <v>192798968.00999987</v>
      </c>
      <c r="E15" s="333">
        <f t="shared" si="0"/>
        <v>13792585.899999999</v>
      </c>
      <c r="F15" s="333">
        <f t="shared" si="0"/>
        <v>509393730.75999981</v>
      </c>
      <c r="G15" s="333">
        <f t="shared" si="0"/>
        <v>292771056.63000005</v>
      </c>
      <c r="H15" s="333">
        <f t="shared" si="0"/>
        <v>4434538.28</v>
      </c>
      <c r="I15" s="333">
        <f t="shared" si="0"/>
        <v>64460851.290000007</v>
      </c>
      <c r="J15" s="333">
        <f t="shared" si="0"/>
        <v>14178908</v>
      </c>
      <c r="K15" s="333">
        <f t="shared" si="0"/>
        <v>375845354.20000005</v>
      </c>
      <c r="L15" s="333">
        <f t="shared" si="0"/>
        <v>885239084.95999992</v>
      </c>
      <c r="M15" s="332" t="s">
        <v>57</v>
      </c>
      <c r="N15" s="333">
        <f t="shared" ref="N15:X15" si="1">+N16+N18+N20+N22+N24+N25</f>
        <v>352311651.47000009</v>
      </c>
      <c r="O15" s="333">
        <f t="shared" si="1"/>
        <v>13166481.82</v>
      </c>
      <c r="P15" s="333">
        <f t="shared" si="1"/>
        <v>225392644.22000006</v>
      </c>
      <c r="Q15" s="333">
        <f t="shared" si="1"/>
        <v>61999065.799999997</v>
      </c>
      <c r="R15" s="333">
        <f t="shared" si="1"/>
        <v>652869843.31000006</v>
      </c>
      <c r="S15" s="333">
        <f t="shared" si="1"/>
        <v>448166047.6700002</v>
      </c>
      <c r="T15" s="333">
        <f t="shared" si="1"/>
        <v>7544437</v>
      </c>
      <c r="U15" s="333">
        <f t="shared" si="1"/>
        <v>66092945.489999995</v>
      </c>
      <c r="V15" s="333">
        <f t="shared" si="1"/>
        <v>30689326.32</v>
      </c>
      <c r="W15" s="333">
        <f t="shared" si="1"/>
        <v>552492756.48000014</v>
      </c>
      <c r="X15" s="333">
        <f t="shared" si="1"/>
        <v>1205362599.7900002</v>
      </c>
      <c r="Y15" s="536">
        <f>SUM((R15-F15)*100/F15)</f>
        <v>28.166053856991581</v>
      </c>
      <c r="Z15" s="333">
        <f>SUM((W15-K15)*100/K15)</f>
        <v>47.000022830134547</v>
      </c>
      <c r="AA15" s="333">
        <f>SUM((X15-L15)*100/L15)</f>
        <v>36.162379211313883</v>
      </c>
    </row>
    <row r="16" spans="1:27">
      <c r="A16" s="335" t="s">
        <v>97</v>
      </c>
      <c r="B16" s="289">
        <v>104589363.65000001</v>
      </c>
      <c r="C16" s="289">
        <v>4684323.5</v>
      </c>
      <c r="D16" s="289">
        <v>52670228.499999993</v>
      </c>
      <c r="E16" s="289">
        <v>5726432.75</v>
      </c>
      <c r="F16" s="336">
        <f>SUM(B16:E16)</f>
        <v>167670348.40000001</v>
      </c>
      <c r="G16" s="289">
        <v>103025628.98999999</v>
      </c>
      <c r="H16" s="289">
        <v>1333440</v>
      </c>
      <c r="I16" s="289">
        <v>21958282.59</v>
      </c>
      <c r="J16" s="289">
        <v>4924300</v>
      </c>
      <c r="K16" s="336">
        <f>SUM(G16:J16)</f>
        <v>131241651.58</v>
      </c>
      <c r="L16" s="337">
        <f>SUM(F16+K16)</f>
        <v>298911999.98000002</v>
      </c>
      <c r="M16" s="335" t="s">
        <v>97</v>
      </c>
      <c r="N16" s="289">
        <v>129134591.19999999</v>
      </c>
      <c r="O16" s="289">
        <v>5085036.25</v>
      </c>
      <c r="P16" s="289">
        <v>54080777.129999965</v>
      </c>
      <c r="Q16" s="289">
        <v>23810995.469999999</v>
      </c>
      <c r="R16" s="336">
        <f>SUM(N16:Q16)</f>
        <v>212111400.04999995</v>
      </c>
      <c r="S16" s="289">
        <v>119807208.11999997</v>
      </c>
      <c r="T16" s="479">
        <v>2884998</v>
      </c>
      <c r="U16" s="289">
        <v>23099570.279999997</v>
      </c>
      <c r="V16" s="289">
        <v>12182971</v>
      </c>
      <c r="W16" s="336">
        <f>SUM(S16:V16)</f>
        <v>157974747.39999998</v>
      </c>
      <c r="X16" s="337">
        <f>SUM(R16+W16)</f>
        <v>370086147.44999993</v>
      </c>
      <c r="Y16" s="531">
        <f>SUM((R16-F16)*100/F16)</f>
        <v>26.505015391260404</v>
      </c>
      <c r="Z16" s="174">
        <f>SUM((W16-K16)*100/K16)</f>
        <v>20.369368640339367</v>
      </c>
      <c r="AA16" s="174">
        <f>SUM((X16-L16)*100/L16)</f>
        <v>23.811070641112472</v>
      </c>
    </row>
    <row r="17" spans="1:27">
      <c r="A17" s="339" t="s">
        <v>100</v>
      </c>
      <c r="B17" s="103"/>
      <c r="C17" s="103"/>
      <c r="D17" s="103"/>
      <c r="E17" s="103"/>
      <c r="F17" s="340"/>
      <c r="G17" s="103"/>
      <c r="H17" s="103"/>
      <c r="I17" s="103"/>
      <c r="J17" s="103"/>
      <c r="K17" s="340"/>
      <c r="L17" s="341"/>
      <c r="M17" s="339" t="s">
        <v>100</v>
      </c>
      <c r="N17" s="103"/>
      <c r="O17" s="103"/>
      <c r="P17" s="103"/>
      <c r="Q17" s="103"/>
      <c r="R17" s="340"/>
      <c r="S17" s="103"/>
      <c r="T17" s="524"/>
      <c r="U17" s="103"/>
      <c r="V17" s="103"/>
      <c r="W17" s="340"/>
      <c r="X17" s="341"/>
      <c r="Y17" s="341"/>
      <c r="Z17" s="342"/>
      <c r="AA17" s="341"/>
    </row>
    <row r="18" spans="1:27">
      <c r="A18" s="343" t="s">
        <v>98</v>
      </c>
      <c r="B18" s="293">
        <v>169187892.34000003</v>
      </c>
      <c r="C18" s="293">
        <v>7158680.290000001</v>
      </c>
      <c r="D18" s="293">
        <v>133960732.36999987</v>
      </c>
      <c r="E18" s="293">
        <v>8066153.1499999994</v>
      </c>
      <c r="F18" s="344">
        <f>SUM(B18:E18)</f>
        <v>318373458.14999986</v>
      </c>
      <c r="G18" s="293">
        <v>167330444.47000003</v>
      </c>
      <c r="H18" s="293">
        <v>2974667.08</v>
      </c>
      <c r="I18" s="293">
        <v>40983251.360000007</v>
      </c>
      <c r="J18" s="293">
        <v>9254608</v>
      </c>
      <c r="K18" s="344">
        <f>SUM(G18:J18)</f>
        <v>220542970.91000006</v>
      </c>
      <c r="L18" s="345">
        <f>SUM(F18+K18)</f>
        <v>538916429.05999994</v>
      </c>
      <c r="M18" s="343" t="s">
        <v>98</v>
      </c>
      <c r="N18" s="293">
        <v>210893983.69000006</v>
      </c>
      <c r="O18" s="293">
        <v>7674095.3200000003</v>
      </c>
      <c r="P18" s="293">
        <v>164167627.37000006</v>
      </c>
      <c r="Q18" s="293">
        <v>38186073.969999999</v>
      </c>
      <c r="R18" s="344">
        <f>SUM(N18:Q18)</f>
        <v>420921780.35000014</v>
      </c>
      <c r="S18" s="293">
        <v>301039995.55000019</v>
      </c>
      <c r="T18" s="525">
        <v>4387689</v>
      </c>
      <c r="U18" s="293">
        <v>41627367.619999997</v>
      </c>
      <c r="V18" s="293">
        <v>18506355.32</v>
      </c>
      <c r="W18" s="344">
        <f>SUM(S18:V18)</f>
        <v>365561407.49000019</v>
      </c>
      <c r="X18" s="345">
        <f>SUM(R18+W18)</f>
        <v>786483187.84000039</v>
      </c>
      <c r="Y18" s="531">
        <f>SUM((R18-F18)*100/F18)</f>
        <v>32.210072659915397</v>
      </c>
      <c r="Z18" s="344">
        <f>SUM((W18-K18)*100/K18)</f>
        <v>65.755184117466058</v>
      </c>
      <c r="AA18" s="344">
        <f>SUM((X18-L18)*100/L18)</f>
        <v>45.937875601940085</v>
      </c>
    </row>
    <row r="19" spans="1:27">
      <c r="A19" s="339" t="s">
        <v>192</v>
      </c>
      <c r="B19" s="103"/>
      <c r="C19" s="103"/>
      <c r="D19" s="103"/>
      <c r="E19" s="103"/>
      <c r="F19" s="340"/>
      <c r="G19" s="103"/>
      <c r="H19" s="103"/>
      <c r="I19" s="103"/>
      <c r="J19" s="103"/>
      <c r="K19" s="340"/>
      <c r="L19" s="341"/>
      <c r="M19" s="339" t="s">
        <v>192</v>
      </c>
      <c r="N19" s="103"/>
      <c r="O19" s="103"/>
      <c r="P19" s="103"/>
      <c r="Q19" s="103"/>
      <c r="R19" s="340"/>
      <c r="S19" s="103"/>
      <c r="T19" s="524"/>
      <c r="U19" s="103"/>
      <c r="V19" s="103"/>
      <c r="W19" s="340"/>
      <c r="X19" s="341"/>
      <c r="Y19" s="341"/>
      <c r="Z19" s="342"/>
      <c r="AA19" s="341"/>
    </row>
    <row r="20" spans="1:27">
      <c r="A20" s="343" t="s">
        <v>99</v>
      </c>
      <c r="B20" s="293">
        <v>14358736.220000001</v>
      </c>
      <c r="C20" s="293">
        <v>149890</v>
      </c>
      <c r="D20" s="293">
        <v>5702223.8000000017</v>
      </c>
      <c r="E20" s="293">
        <v>0</v>
      </c>
      <c r="F20" s="344">
        <f>SUM(B20:E20)</f>
        <v>20210850.020000003</v>
      </c>
      <c r="G20" s="346">
        <v>14634389.910000002</v>
      </c>
      <c r="H20" s="293">
        <v>84040</v>
      </c>
      <c r="I20" s="293">
        <v>1268931.1399999999</v>
      </c>
      <c r="J20" s="293">
        <v>0</v>
      </c>
      <c r="K20" s="344">
        <f>SUM(G20:J20)</f>
        <v>15987361.050000003</v>
      </c>
      <c r="L20" s="345">
        <f>SUM(F20+K20)</f>
        <v>36198211.070000008</v>
      </c>
      <c r="M20" s="343" t="s">
        <v>99</v>
      </c>
      <c r="N20" s="293">
        <v>8233242.7800000012</v>
      </c>
      <c r="O20" s="293">
        <v>51964</v>
      </c>
      <c r="P20" s="293">
        <v>6684112.120000001</v>
      </c>
      <c r="Q20" s="293">
        <v>0</v>
      </c>
      <c r="R20" s="344">
        <f>SUM(N20:Q20)</f>
        <v>14969318.900000002</v>
      </c>
      <c r="S20" s="346">
        <v>21649078.210000001</v>
      </c>
      <c r="T20" s="525">
        <v>152040</v>
      </c>
      <c r="U20" s="293">
        <v>1094977.4200000002</v>
      </c>
      <c r="V20" s="293">
        <v>0</v>
      </c>
      <c r="W20" s="344">
        <f>SUM(S20:V20)</f>
        <v>22896095.630000003</v>
      </c>
      <c r="X20" s="345">
        <f>SUM(R20+W20)</f>
        <v>37865414.530000001</v>
      </c>
      <c r="Y20" s="338">
        <f>SUM((R20-F20)*100/F20)</f>
        <v>-25.934243808712406</v>
      </c>
      <c r="Z20" s="344">
        <f>SUM((W20-K20)*100/K20)</f>
        <v>43.21372713353464</v>
      </c>
      <c r="AA20" s="344">
        <f>SUM((X20-L20)*100/L20)</f>
        <v>4.6057620272337756</v>
      </c>
    </row>
    <row r="21" spans="1:27">
      <c r="A21" s="339" t="s">
        <v>41</v>
      </c>
      <c r="B21" s="103"/>
      <c r="C21" s="103"/>
      <c r="D21" s="103"/>
      <c r="E21" s="103"/>
      <c r="F21" s="340"/>
      <c r="G21" s="103"/>
      <c r="H21" s="103"/>
      <c r="I21" s="103"/>
      <c r="J21" s="103"/>
      <c r="K21" s="340"/>
      <c r="L21" s="341"/>
      <c r="M21" s="339" t="s">
        <v>101</v>
      </c>
      <c r="N21" s="103"/>
      <c r="O21" s="103"/>
      <c r="P21" s="103"/>
      <c r="Q21" s="103"/>
      <c r="R21" s="340"/>
      <c r="S21" s="103"/>
      <c r="T21" s="524"/>
      <c r="U21" s="103"/>
      <c r="V21" s="103"/>
      <c r="W21" s="340"/>
      <c r="X21" s="341"/>
      <c r="Y21" s="347"/>
      <c r="Z21" s="341"/>
      <c r="AA21" s="341"/>
    </row>
    <row r="22" spans="1:27">
      <c r="A22" s="343" t="s">
        <v>278</v>
      </c>
      <c r="B22" s="293">
        <v>0</v>
      </c>
      <c r="C22" s="293">
        <v>0</v>
      </c>
      <c r="D22" s="293">
        <v>0</v>
      </c>
      <c r="E22" s="293">
        <v>0</v>
      </c>
      <c r="F22" s="344">
        <f>SUM(B22:E22)</f>
        <v>0</v>
      </c>
      <c r="G22" s="293">
        <v>0</v>
      </c>
      <c r="H22" s="293">
        <v>0</v>
      </c>
      <c r="I22" s="293">
        <v>0</v>
      </c>
      <c r="J22" s="293">
        <v>0</v>
      </c>
      <c r="K22" s="344">
        <f>SUM(G22:J22)</f>
        <v>0</v>
      </c>
      <c r="L22" s="345">
        <f>+F22+K22</f>
        <v>0</v>
      </c>
      <c r="M22" s="343" t="s">
        <v>278</v>
      </c>
      <c r="N22" s="293">
        <v>40400</v>
      </c>
      <c r="O22" s="293">
        <v>0</v>
      </c>
      <c r="P22" s="293">
        <v>1068.18</v>
      </c>
      <c r="Q22" s="293"/>
      <c r="R22" s="344">
        <f>SUM(N22:Q22)</f>
        <v>41468.18</v>
      </c>
      <c r="S22" s="293">
        <v>182530</v>
      </c>
      <c r="T22" s="525">
        <v>82100</v>
      </c>
      <c r="U22" s="293">
        <v>2998.14</v>
      </c>
      <c r="V22" s="293">
        <v>0</v>
      </c>
      <c r="W22" s="344">
        <f>SUM(S22:V22)</f>
        <v>267628.14</v>
      </c>
      <c r="X22" s="345">
        <f>+R22+W22</f>
        <v>309096.32000000001</v>
      </c>
      <c r="Y22" s="174">
        <v>100</v>
      </c>
      <c r="Z22" s="344">
        <v>100</v>
      </c>
      <c r="AA22" s="344">
        <v>100</v>
      </c>
    </row>
    <row r="23" spans="1:27">
      <c r="A23" s="339" t="s">
        <v>345</v>
      </c>
      <c r="B23" s="103"/>
      <c r="C23" s="103"/>
      <c r="D23" s="103"/>
      <c r="E23" s="103"/>
      <c r="F23" s="340"/>
      <c r="G23" s="103"/>
      <c r="H23" s="103"/>
      <c r="I23" s="103"/>
      <c r="J23" s="103"/>
      <c r="K23" s="340"/>
      <c r="L23" s="341"/>
      <c r="M23" s="339" t="s">
        <v>345</v>
      </c>
      <c r="N23" s="103"/>
      <c r="O23" s="103"/>
      <c r="P23" s="103"/>
      <c r="Q23" s="103"/>
      <c r="R23" s="340"/>
      <c r="S23" s="103"/>
      <c r="T23" s="524"/>
      <c r="U23" s="103"/>
      <c r="V23" s="526"/>
      <c r="W23" s="340"/>
      <c r="X23" s="354"/>
      <c r="Y23" s="347"/>
      <c r="Z23" s="341"/>
      <c r="AA23" s="341"/>
    </row>
    <row r="24" spans="1:27">
      <c r="A24" s="348" t="s">
        <v>346</v>
      </c>
      <c r="B24" s="98">
        <f>984496.64+273049.31</f>
        <v>1257545.95</v>
      </c>
      <c r="C24" s="98">
        <v>44228.5</v>
      </c>
      <c r="D24" s="98">
        <v>163419.44</v>
      </c>
      <c r="E24" s="98">
        <v>0</v>
      </c>
      <c r="F24" s="164">
        <f>SUM(B24:E24)</f>
        <v>1465193.89</v>
      </c>
      <c r="G24" s="98">
        <v>5431704.2699999996</v>
      </c>
      <c r="H24" s="98">
        <v>7801.2</v>
      </c>
      <c r="I24" s="98">
        <v>48794.68</v>
      </c>
      <c r="J24" s="98">
        <v>0</v>
      </c>
      <c r="K24" s="164">
        <f>SUM(G24:J24)</f>
        <v>5488300.1499999994</v>
      </c>
      <c r="L24" s="349">
        <f>SUM(F24+K24)</f>
        <v>6953494.0399999991</v>
      </c>
      <c r="M24" s="348" t="s">
        <v>347</v>
      </c>
      <c r="N24" s="527">
        <v>2291462.4500000002</v>
      </c>
      <c r="O24" s="527">
        <v>313134.25</v>
      </c>
      <c r="P24" s="527">
        <v>180020.8</v>
      </c>
      <c r="Q24" s="527">
        <v>1996.36</v>
      </c>
      <c r="R24" s="292">
        <f>SUM(N24:Q24)</f>
        <v>2786613.86</v>
      </c>
      <c r="S24" s="527">
        <v>2368548.19</v>
      </c>
      <c r="T24" s="528">
        <v>8100</v>
      </c>
      <c r="U24" s="527">
        <v>60430.99</v>
      </c>
      <c r="V24" s="527">
        <v>0</v>
      </c>
      <c r="W24" s="292">
        <f>SUM(S24:V24)</f>
        <v>2437079.1800000002</v>
      </c>
      <c r="X24" s="533">
        <f>SUM(R24+W24)</f>
        <v>5223693.04</v>
      </c>
      <c r="Y24" s="534">
        <f>SUM((R24-F24)*100/F24)</f>
        <v>90.187379228014663</v>
      </c>
      <c r="Z24" s="535">
        <f>SUM((W24-K24)*100/K24)</f>
        <v>-55.595009139578487</v>
      </c>
      <c r="AA24" s="535">
        <f>SUM((X24-L24)*100/L24)</f>
        <v>-24.876716511861702</v>
      </c>
    </row>
    <row r="25" spans="1:27">
      <c r="A25" s="350" t="s">
        <v>348</v>
      </c>
      <c r="B25" s="313">
        <v>1292960.3999999999</v>
      </c>
      <c r="C25" s="313">
        <v>78556</v>
      </c>
      <c r="D25" s="313">
        <v>302363.89999999997</v>
      </c>
      <c r="E25" s="313">
        <v>0</v>
      </c>
      <c r="F25" s="174">
        <f>SUM(B25:E25)</f>
        <v>1673880.2999999998</v>
      </c>
      <c r="G25" s="313">
        <v>2348888.9900000002</v>
      </c>
      <c r="H25" s="313">
        <v>34590</v>
      </c>
      <c r="I25" s="313">
        <v>201591.52</v>
      </c>
      <c r="J25" s="313">
        <v>0</v>
      </c>
      <c r="K25" s="174">
        <f>SUM(G25:J25)</f>
        <v>2585070.5100000002</v>
      </c>
      <c r="L25" s="351">
        <f>SUM(F25+K25)</f>
        <v>4258950.8100000005</v>
      </c>
      <c r="M25" s="350" t="s">
        <v>349</v>
      </c>
      <c r="N25" s="313">
        <v>1717971.35</v>
      </c>
      <c r="O25" s="313">
        <v>42252</v>
      </c>
      <c r="P25" s="313">
        <v>279038.62</v>
      </c>
      <c r="Q25" s="313">
        <v>0</v>
      </c>
      <c r="R25" s="174">
        <f>SUM(N25:Q25)</f>
        <v>2039261.9700000002</v>
      </c>
      <c r="S25" s="313">
        <v>3118687.5999999996</v>
      </c>
      <c r="T25" s="529">
        <v>29510</v>
      </c>
      <c r="U25" s="313">
        <v>207601.04</v>
      </c>
      <c r="V25" s="313">
        <v>0</v>
      </c>
      <c r="W25" s="174">
        <f>SUM(S25:V25)</f>
        <v>3355798.6399999997</v>
      </c>
      <c r="X25" s="351">
        <f>SUM(R25+W25)</f>
        <v>5395060.6099999994</v>
      </c>
      <c r="Y25" s="531">
        <f>SUM((R25-F25)*100/F25)</f>
        <v>21.828422856759854</v>
      </c>
      <c r="Z25" s="344">
        <f>SUM((W25-K25)*100/K25)</f>
        <v>29.814588306916214</v>
      </c>
      <c r="AA25" s="344">
        <f>SUM((X25-L25)*100/L25)</f>
        <v>26.675814083891677</v>
      </c>
    </row>
    <row r="26" spans="1:27">
      <c r="A26" s="179"/>
      <c r="B26" s="187"/>
      <c r="C26" s="187"/>
      <c r="D26" s="187"/>
      <c r="E26" s="187"/>
      <c r="F26" s="188"/>
      <c r="G26" s="187"/>
      <c r="H26" s="187"/>
      <c r="I26" s="187"/>
      <c r="J26" s="187"/>
      <c r="K26" s="188"/>
      <c r="L26" s="189"/>
      <c r="M26" s="179"/>
      <c r="N26" s="187"/>
      <c r="O26" s="187"/>
      <c r="P26" s="187"/>
      <c r="Q26" s="187"/>
      <c r="R26" s="188"/>
      <c r="S26" s="187"/>
      <c r="T26" s="187"/>
      <c r="U26" s="187"/>
      <c r="V26" s="187"/>
      <c r="W26" s="188"/>
      <c r="X26" s="188"/>
      <c r="Y26" s="189"/>
      <c r="Z26" s="189"/>
      <c r="AA26" s="189"/>
    </row>
    <row r="27" spans="1:27" s="100" customFormat="1">
      <c r="A27" s="352" t="s">
        <v>58</v>
      </c>
      <c r="B27" s="188">
        <f t="shared" ref="B27:L27" si="2">SUM(B28:B42)</f>
        <v>131254763.53</v>
      </c>
      <c r="C27" s="188">
        <f t="shared" si="2"/>
        <v>3561531.5</v>
      </c>
      <c r="D27" s="188">
        <f t="shared" si="2"/>
        <v>7507317.6799999988</v>
      </c>
      <c r="E27" s="188">
        <f t="shared" si="2"/>
        <v>0</v>
      </c>
      <c r="F27" s="188">
        <f t="shared" si="2"/>
        <v>142323612.71000004</v>
      </c>
      <c r="G27" s="188">
        <f t="shared" si="2"/>
        <v>91223792.409999996</v>
      </c>
      <c r="H27" s="188">
        <f t="shared" si="2"/>
        <v>1556210</v>
      </c>
      <c r="I27" s="188">
        <f t="shared" si="2"/>
        <v>1935831</v>
      </c>
      <c r="J27" s="188">
        <f t="shared" si="2"/>
        <v>1157906.3999999999</v>
      </c>
      <c r="K27" s="188">
        <f t="shared" si="2"/>
        <v>95873739.810000017</v>
      </c>
      <c r="L27" s="188">
        <f t="shared" si="2"/>
        <v>238197352.51999998</v>
      </c>
      <c r="M27" s="352" t="s">
        <v>58</v>
      </c>
      <c r="N27" s="188">
        <f t="shared" ref="N27:X27" si="3">SUM(N28:N42)</f>
        <v>127060356.99999999</v>
      </c>
      <c r="O27" s="188">
        <f t="shared" si="3"/>
        <v>4054482.75</v>
      </c>
      <c r="P27" s="188">
        <f t="shared" si="3"/>
        <v>10290097.619999999</v>
      </c>
      <c r="Q27" s="188">
        <f t="shared" si="3"/>
        <v>0</v>
      </c>
      <c r="R27" s="188">
        <f t="shared" si="3"/>
        <v>141404937.37</v>
      </c>
      <c r="S27" s="188">
        <f t="shared" si="3"/>
        <v>104752640.11</v>
      </c>
      <c r="T27" s="188">
        <f t="shared" si="3"/>
        <v>1990170</v>
      </c>
      <c r="U27" s="188">
        <f t="shared" si="3"/>
        <v>1975097.76</v>
      </c>
      <c r="V27" s="188">
        <f t="shared" si="3"/>
        <v>1018016.75</v>
      </c>
      <c r="W27" s="188">
        <f t="shared" si="3"/>
        <v>109735924.61999999</v>
      </c>
      <c r="X27" s="188">
        <f t="shared" si="3"/>
        <v>251140861.98999995</v>
      </c>
      <c r="Y27" s="355">
        <f t="shared" ref="Y27:Y43" si="4">SUM((R27-F27)*100/F27)</f>
        <v>-0.6454834320935452</v>
      </c>
      <c r="Z27" s="333">
        <f t="shared" ref="Z27:AA41" si="5">SUM((W27-K27)*100/K27)</f>
        <v>14.458792196352906</v>
      </c>
      <c r="AA27" s="344">
        <f t="shared" si="5"/>
        <v>5.4339434645534865</v>
      </c>
    </row>
    <row r="28" spans="1:27" s="100" customFormat="1">
      <c r="A28" s="353" t="s">
        <v>102</v>
      </c>
      <c r="B28" s="103">
        <v>729691.75</v>
      </c>
      <c r="C28" s="103">
        <v>125500</v>
      </c>
      <c r="D28" s="103">
        <v>380177.67</v>
      </c>
      <c r="E28" s="103">
        <v>0</v>
      </c>
      <c r="F28" s="340">
        <f t="shared" ref="F28:F42" si="6">SUM(B28:E28)</f>
        <v>1235369.42</v>
      </c>
      <c r="G28" s="103">
        <v>1872994.7</v>
      </c>
      <c r="H28" s="103">
        <v>268740</v>
      </c>
      <c r="I28" s="103">
        <v>256298.51</v>
      </c>
      <c r="J28" s="103">
        <v>0</v>
      </c>
      <c r="K28" s="340">
        <f t="shared" ref="K28:K42" si="7">SUM(G28:J28)</f>
        <v>2398033.21</v>
      </c>
      <c r="L28" s="354">
        <f t="shared" ref="L28:L43" si="8">SUM(F28+K28)</f>
        <v>3633402.63</v>
      </c>
      <c r="M28" s="353" t="s">
        <v>102</v>
      </c>
      <c r="N28" s="103">
        <v>210729.40000000002</v>
      </c>
      <c r="O28" s="103">
        <v>90085</v>
      </c>
      <c r="P28" s="103">
        <v>366917.96000000008</v>
      </c>
      <c r="Q28" s="103">
        <v>0</v>
      </c>
      <c r="R28" s="340">
        <f t="shared" ref="R28:R42" si="9">SUM(N28:Q28)</f>
        <v>667732.3600000001</v>
      </c>
      <c r="S28" s="103">
        <v>2244307.02</v>
      </c>
      <c r="T28" s="103">
        <v>441600</v>
      </c>
      <c r="U28" s="103">
        <v>242148.13999999996</v>
      </c>
      <c r="V28" s="103">
        <v>0</v>
      </c>
      <c r="W28" s="340">
        <f t="shared" ref="W28:W41" si="10">SUM(S28:V28)</f>
        <v>2928055.16</v>
      </c>
      <c r="X28" s="354">
        <f t="shared" ref="X28:X43" si="11">SUM(R28+W28)</f>
        <v>3595787.5200000005</v>
      </c>
      <c r="Y28" s="355">
        <f t="shared" si="4"/>
        <v>-45.948770530518708</v>
      </c>
      <c r="Z28" s="174">
        <f t="shared" si="5"/>
        <v>22.102360709174672</v>
      </c>
      <c r="AA28" s="355">
        <f t="shared" si="5"/>
        <v>-1.0352585119364932</v>
      </c>
    </row>
    <row r="29" spans="1:27" s="100" customFormat="1">
      <c r="A29" s="357" t="s">
        <v>103</v>
      </c>
      <c r="B29" s="98">
        <v>565448.46000000008</v>
      </c>
      <c r="C29" s="98">
        <v>103850</v>
      </c>
      <c r="D29" s="98">
        <v>104466.65</v>
      </c>
      <c r="E29" s="98">
        <v>0</v>
      </c>
      <c r="F29" s="340">
        <f t="shared" si="6"/>
        <v>773765.1100000001</v>
      </c>
      <c r="G29" s="98">
        <v>1328297.1000000001</v>
      </c>
      <c r="H29" s="98">
        <v>4310</v>
      </c>
      <c r="I29" s="98">
        <v>156754.36000000002</v>
      </c>
      <c r="J29" s="98">
        <v>0</v>
      </c>
      <c r="K29" s="340">
        <f t="shared" si="7"/>
        <v>1489361.4600000002</v>
      </c>
      <c r="L29" s="354">
        <f t="shared" si="8"/>
        <v>2263126.5700000003</v>
      </c>
      <c r="M29" s="357" t="s">
        <v>103</v>
      </c>
      <c r="N29" s="98">
        <v>162459.09</v>
      </c>
      <c r="O29" s="98">
        <v>181593.5</v>
      </c>
      <c r="P29" s="98">
        <v>105533.43</v>
      </c>
      <c r="Q29" s="98">
        <v>0</v>
      </c>
      <c r="R29" s="340">
        <f t="shared" si="9"/>
        <v>449586.01999999996</v>
      </c>
      <c r="S29" s="98">
        <v>2762231.4699999997</v>
      </c>
      <c r="T29" s="98">
        <v>0</v>
      </c>
      <c r="U29" s="98">
        <v>162132.35</v>
      </c>
      <c r="V29" s="98">
        <v>0</v>
      </c>
      <c r="W29" s="340">
        <f t="shared" si="10"/>
        <v>2924363.82</v>
      </c>
      <c r="X29" s="354">
        <f t="shared" si="11"/>
        <v>3373949.84</v>
      </c>
      <c r="Y29" s="199">
        <f t="shared" si="4"/>
        <v>-41.896317863182034</v>
      </c>
      <c r="Z29" s="164">
        <f t="shared" si="5"/>
        <v>96.350174120928273</v>
      </c>
      <c r="AA29" s="344">
        <f t="shared" si="5"/>
        <v>49.083568048074277</v>
      </c>
    </row>
    <row r="30" spans="1:27" s="100" customFormat="1">
      <c r="A30" s="357" t="s">
        <v>104</v>
      </c>
      <c r="B30" s="98">
        <f>21509455.69-1556335</f>
        <v>19953120.690000001</v>
      </c>
      <c r="C30" s="98">
        <v>171739.5</v>
      </c>
      <c r="D30" s="98">
        <v>699688.05</v>
      </c>
      <c r="E30" s="98">
        <v>0</v>
      </c>
      <c r="F30" s="340">
        <f t="shared" si="6"/>
        <v>20824548.240000002</v>
      </c>
      <c r="G30" s="98">
        <v>3678296.82</v>
      </c>
      <c r="H30" s="98">
        <v>258130</v>
      </c>
      <c r="I30" s="98">
        <v>363106.74</v>
      </c>
      <c r="J30" s="98"/>
      <c r="K30" s="340">
        <f t="shared" si="7"/>
        <v>4299533.5599999996</v>
      </c>
      <c r="L30" s="354">
        <f t="shared" si="8"/>
        <v>25124081.800000001</v>
      </c>
      <c r="M30" s="357" t="s">
        <v>104</v>
      </c>
      <c r="N30" s="98">
        <v>12150977</v>
      </c>
      <c r="O30" s="98">
        <v>238735.5</v>
      </c>
      <c r="P30" s="98">
        <v>556236.78</v>
      </c>
      <c r="Q30" s="98">
        <v>0</v>
      </c>
      <c r="R30" s="340">
        <f t="shared" si="9"/>
        <v>12945949.279999999</v>
      </c>
      <c r="S30" s="98">
        <v>3278213.6</v>
      </c>
      <c r="T30" s="98">
        <v>422510</v>
      </c>
      <c r="U30" s="98">
        <v>387944.73</v>
      </c>
      <c r="V30" s="98"/>
      <c r="W30" s="340">
        <f t="shared" si="10"/>
        <v>4088668.33</v>
      </c>
      <c r="X30" s="354">
        <f t="shared" si="11"/>
        <v>17034617.609999999</v>
      </c>
      <c r="Y30" s="199">
        <f t="shared" si="4"/>
        <v>-37.833228693368291</v>
      </c>
      <c r="Z30" s="356">
        <f t="shared" si="5"/>
        <v>-4.9043745573182482</v>
      </c>
      <c r="AA30" s="199">
        <f t="shared" si="5"/>
        <v>-32.198049084524158</v>
      </c>
    </row>
    <row r="31" spans="1:27" s="100" customFormat="1">
      <c r="A31" s="357" t="s">
        <v>105</v>
      </c>
      <c r="B31" s="98">
        <v>20525348.300000001</v>
      </c>
      <c r="C31" s="98">
        <v>285374</v>
      </c>
      <c r="D31" s="98">
        <v>2512455.5699999994</v>
      </c>
      <c r="E31" s="98">
        <v>0</v>
      </c>
      <c r="F31" s="340">
        <f t="shared" si="6"/>
        <v>23323177.870000001</v>
      </c>
      <c r="G31" s="98">
        <v>3723334.05</v>
      </c>
      <c r="H31" s="98">
        <v>0</v>
      </c>
      <c r="I31" s="98">
        <v>67828.62</v>
      </c>
      <c r="J31" s="98">
        <v>0</v>
      </c>
      <c r="K31" s="340">
        <f t="shared" si="7"/>
        <v>3791162.67</v>
      </c>
      <c r="L31" s="354">
        <f t="shared" si="8"/>
        <v>27114340.539999999</v>
      </c>
      <c r="M31" s="357" t="s">
        <v>105</v>
      </c>
      <c r="N31" s="98">
        <v>597104.6</v>
      </c>
      <c r="O31" s="98">
        <v>407213.75</v>
      </c>
      <c r="P31" s="98">
        <v>6047480.8700000001</v>
      </c>
      <c r="Q31" s="98">
        <v>0</v>
      </c>
      <c r="R31" s="340">
        <f t="shared" si="9"/>
        <v>7051799.2199999997</v>
      </c>
      <c r="S31" s="98">
        <v>3566870</v>
      </c>
      <c r="T31" s="98">
        <v>2370</v>
      </c>
      <c r="U31" s="98">
        <v>58652.46</v>
      </c>
      <c r="V31" s="98">
        <v>0</v>
      </c>
      <c r="W31" s="340">
        <f t="shared" si="10"/>
        <v>3627892.46</v>
      </c>
      <c r="X31" s="354">
        <f t="shared" si="11"/>
        <v>10679691.68</v>
      </c>
      <c r="Y31" s="199">
        <f t="shared" si="4"/>
        <v>-69.764843970638566</v>
      </c>
      <c r="Z31" s="356">
        <f t="shared" si="5"/>
        <v>-4.3065999592151494</v>
      </c>
      <c r="AA31" s="445">
        <f t="shared" si="5"/>
        <v>-60.612386407683587</v>
      </c>
    </row>
    <row r="32" spans="1:27" s="100" customFormat="1">
      <c r="A32" s="357" t="s">
        <v>2</v>
      </c>
      <c r="B32" s="98">
        <v>2157561.17</v>
      </c>
      <c r="C32" s="98">
        <v>1081445.5</v>
      </c>
      <c r="D32" s="98">
        <v>179308.15999999997</v>
      </c>
      <c r="E32" s="98">
        <v>0</v>
      </c>
      <c r="F32" s="164">
        <f t="shared" si="6"/>
        <v>3418314.83</v>
      </c>
      <c r="G32" s="98">
        <v>18657381.84</v>
      </c>
      <c r="H32" s="98">
        <v>5820</v>
      </c>
      <c r="I32" s="98">
        <v>76246.069999999992</v>
      </c>
      <c r="J32" s="98">
        <v>0</v>
      </c>
      <c r="K32" s="164">
        <f t="shared" si="7"/>
        <v>18739447.91</v>
      </c>
      <c r="L32" s="349">
        <f t="shared" si="8"/>
        <v>22157762.740000002</v>
      </c>
      <c r="M32" s="357" t="s">
        <v>2</v>
      </c>
      <c r="N32" s="98">
        <v>7486843.5900000008</v>
      </c>
      <c r="O32" s="98">
        <v>223782.75</v>
      </c>
      <c r="P32" s="98">
        <v>192634.81999999998</v>
      </c>
      <c r="Q32" s="98">
        <v>0</v>
      </c>
      <c r="R32" s="164">
        <f t="shared" si="9"/>
        <v>7903261.1600000011</v>
      </c>
      <c r="S32" s="98">
        <v>10624584.119999999</v>
      </c>
      <c r="T32" s="98">
        <v>13470</v>
      </c>
      <c r="U32" s="98">
        <v>95933.819999999978</v>
      </c>
      <c r="V32" s="98">
        <v>0</v>
      </c>
      <c r="W32" s="164">
        <f t="shared" si="10"/>
        <v>10733987.939999999</v>
      </c>
      <c r="X32" s="349">
        <f t="shared" si="11"/>
        <v>18637249.100000001</v>
      </c>
      <c r="Y32" s="164">
        <f t="shared" si="4"/>
        <v>131.20343072671281</v>
      </c>
      <c r="Z32" s="356">
        <f t="shared" si="5"/>
        <v>-42.719828291889101</v>
      </c>
      <c r="AA32" s="446">
        <f t="shared" si="5"/>
        <v>-15.888398487292406</v>
      </c>
    </row>
    <row r="33" spans="1:27" s="100" customFormat="1">
      <c r="A33" s="358" t="s">
        <v>106</v>
      </c>
      <c r="B33" s="103">
        <v>71164023.890000001</v>
      </c>
      <c r="C33" s="103">
        <v>521993</v>
      </c>
      <c r="D33" s="103">
        <v>1537428.2400000002</v>
      </c>
      <c r="E33" s="103">
        <v>0</v>
      </c>
      <c r="F33" s="340">
        <f t="shared" si="6"/>
        <v>73223445.129999995</v>
      </c>
      <c r="G33" s="103">
        <v>19284636.870000001</v>
      </c>
      <c r="H33" s="103">
        <v>241130</v>
      </c>
      <c r="I33" s="103">
        <v>209793.46</v>
      </c>
      <c r="J33" s="103">
        <v>1157906.3999999999</v>
      </c>
      <c r="K33" s="164">
        <f t="shared" si="7"/>
        <v>20893466.73</v>
      </c>
      <c r="L33" s="354">
        <f t="shared" si="8"/>
        <v>94116911.859999999</v>
      </c>
      <c r="M33" s="358" t="s">
        <v>106</v>
      </c>
      <c r="N33" s="103">
        <v>79605696.790000007</v>
      </c>
      <c r="O33" s="103">
        <v>1470116</v>
      </c>
      <c r="P33" s="103">
        <v>1463138.8199999998</v>
      </c>
      <c r="Q33" s="103">
        <v>0</v>
      </c>
      <c r="R33" s="340">
        <f t="shared" si="9"/>
        <v>82538951.609999999</v>
      </c>
      <c r="S33" s="103">
        <v>45595592.799999997</v>
      </c>
      <c r="T33" s="103">
        <v>354780</v>
      </c>
      <c r="U33" s="103">
        <v>224083.38</v>
      </c>
      <c r="V33" s="103">
        <v>1018016.75</v>
      </c>
      <c r="W33" s="164">
        <f t="shared" si="10"/>
        <v>47192472.93</v>
      </c>
      <c r="X33" s="354">
        <f t="shared" si="11"/>
        <v>129731424.53999999</v>
      </c>
      <c r="Y33" s="459">
        <f t="shared" si="4"/>
        <v>12.72202702762943</v>
      </c>
      <c r="Z33" s="164">
        <f t="shared" si="5"/>
        <v>125.8719126885651</v>
      </c>
      <c r="AA33" s="199">
        <f t="shared" si="5"/>
        <v>37.840715314774663</v>
      </c>
    </row>
    <row r="34" spans="1:27" s="100" customFormat="1">
      <c r="A34" s="359" t="s">
        <v>5</v>
      </c>
      <c r="B34" s="98">
        <f>8657792.7-B24</f>
        <v>7400246.7499999991</v>
      </c>
      <c r="C34" s="313">
        <f>550462.5-C24</f>
        <v>506234</v>
      </c>
      <c r="D34" s="313">
        <f>1403758.82-D24</f>
        <v>1240339.3800000001</v>
      </c>
      <c r="E34" s="313">
        <v>0</v>
      </c>
      <c r="F34" s="313">
        <f t="shared" si="6"/>
        <v>9146820.129999999</v>
      </c>
      <c r="G34" s="313">
        <v>27155810.34</v>
      </c>
      <c r="H34" s="313">
        <v>65010</v>
      </c>
      <c r="I34" s="313">
        <v>243973.4</v>
      </c>
      <c r="J34" s="313">
        <v>0</v>
      </c>
      <c r="K34" s="174">
        <f t="shared" si="7"/>
        <v>27464793.739999998</v>
      </c>
      <c r="L34" s="354">
        <f t="shared" si="8"/>
        <v>36611613.869999997</v>
      </c>
      <c r="M34" s="360" t="s">
        <v>5</v>
      </c>
      <c r="N34" s="98">
        <f>16111218.82-2291462.45</f>
        <v>13819756.370000001</v>
      </c>
      <c r="O34" s="313">
        <f>772971.25-313134.25</f>
        <v>459837</v>
      </c>
      <c r="P34" s="313">
        <f>739824.06-180020.8</f>
        <v>559803.26</v>
      </c>
      <c r="Q34" s="313">
        <v>0</v>
      </c>
      <c r="R34" s="174">
        <f t="shared" si="9"/>
        <v>14839396.630000001</v>
      </c>
      <c r="S34" s="313">
        <f>15878944.34-2368548.19</f>
        <v>13510396.15</v>
      </c>
      <c r="T34" s="313">
        <f>67500-8100</f>
        <v>59400</v>
      </c>
      <c r="U34" s="313">
        <f>302154.94-60430.99</f>
        <v>241723.95</v>
      </c>
      <c r="V34" s="313">
        <v>0</v>
      </c>
      <c r="W34" s="174">
        <f t="shared" si="10"/>
        <v>13811520.1</v>
      </c>
      <c r="X34" s="349">
        <f t="shared" si="11"/>
        <v>28650916.73</v>
      </c>
      <c r="Y34" s="164">
        <f t="shared" si="4"/>
        <v>62.235579349913408</v>
      </c>
      <c r="Z34" s="356">
        <f t="shared" si="5"/>
        <v>-49.711910343296097</v>
      </c>
      <c r="AA34" s="446">
        <f t="shared" si="5"/>
        <v>-21.743638967314382</v>
      </c>
    </row>
    <row r="35" spans="1:27">
      <c r="A35" s="357" t="s">
        <v>115</v>
      </c>
      <c r="B35" s="361">
        <v>908032.70000000007</v>
      </c>
      <c r="C35" s="98">
        <v>131883.5</v>
      </c>
      <c r="D35" s="98">
        <v>326100.56000000006</v>
      </c>
      <c r="E35" s="98">
        <v>0</v>
      </c>
      <c r="F35" s="164">
        <f t="shared" si="6"/>
        <v>1366016.7600000002</v>
      </c>
      <c r="G35" s="98">
        <v>757327.8</v>
      </c>
      <c r="H35" s="98">
        <v>412270</v>
      </c>
      <c r="I35" s="98">
        <v>163587.15000000002</v>
      </c>
      <c r="J35" s="98">
        <v>0</v>
      </c>
      <c r="K35" s="344">
        <f t="shared" si="7"/>
        <v>1333184.9500000002</v>
      </c>
      <c r="L35" s="354">
        <f t="shared" si="8"/>
        <v>2699201.7100000004</v>
      </c>
      <c r="M35" s="357" t="s">
        <v>115</v>
      </c>
      <c r="N35" s="361">
        <v>1124584.6900000002</v>
      </c>
      <c r="O35" s="98">
        <v>274642.5</v>
      </c>
      <c r="P35" s="98">
        <v>376862.50000000006</v>
      </c>
      <c r="Q35" s="98">
        <v>0</v>
      </c>
      <c r="R35" s="164">
        <f t="shared" si="9"/>
        <v>1776089.6900000002</v>
      </c>
      <c r="S35" s="98">
        <v>940758.72</v>
      </c>
      <c r="T35" s="98">
        <v>367860</v>
      </c>
      <c r="U35" s="98">
        <v>177352.25</v>
      </c>
      <c r="V35" s="98">
        <v>0</v>
      </c>
      <c r="W35" s="344">
        <f t="shared" si="10"/>
        <v>1485970.97</v>
      </c>
      <c r="X35" s="354">
        <f t="shared" si="11"/>
        <v>3262060.66</v>
      </c>
      <c r="Y35" s="460">
        <f t="shared" si="4"/>
        <v>30.019611911643008</v>
      </c>
      <c r="Z35" s="164">
        <f t="shared" si="5"/>
        <v>11.46022687999889</v>
      </c>
      <c r="AA35" s="344">
        <f t="shared" si="5"/>
        <v>20.85279317639435</v>
      </c>
    </row>
    <row r="36" spans="1:27">
      <c r="A36" s="357" t="s">
        <v>116</v>
      </c>
      <c r="B36" s="98">
        <v>2415738.6399999997</v>
      </c>
      <c r="C36" s="98">
        <v>243670</v>
      </c>
      <c r="D36" s="98">
        <v>117819.34</v>
      </c>
      <c r="E36" s="98">
        <v>0</v>
      </c>
      <c r="F36" s="164">
        <f t="shared" si="6"/>
        <v>2777227.9799999995</v>
      </c>
      <c r="G36" s="98">
        <v>9489117.950000003</v>
      </c>
      <c r="H36" s="98">
        <v>93780</v>
      </c>
      <c r="I36" s="98">
        <v>198847.27999999997</v>
      </c>
      <c r="J36" s="98">
        <v>0</v>
      </c>
      <c r="K36" s="344">
        <f t="shared" si="7"/>
        <v>9781745.2300000023</v>
      </c>
      <c r="L36" s="354">
        <f t="shared" si="8"/>
        <v>12558973.210000001</v>
      </c>
      <c r="M36" s="357" t="s">
        <v>116</v>
      </c>
      <c r="N36" s="98">
        <v>1546171.2</v>
      </c>
      <c r="O36" s="98">
        <v>250390</v>
      </c>
      <c r="P36" s="98">
        <v>184842.99999999997</v>
      </c>
      <c r="Q36" s="98">
        <v>0</v>
      </c>
      <c r="R36" s="164">
        <f t="shared" si="9"/>
        <v>1981404.2</v>
      </c>
      <c r="S36" s="98">
        <v>11405467.950000001</v>
      </c>
      <c r="T36" s="98">
        <v>102040</v>
      </c>
      <c r="U36" s="98">
        <v>179384.66999999998</v>
      </c>
      <c r="V36" s="98">
        <v>0</v>
      </c>
      <c r="W36" s="344">
        <f t="shared" si="10"/>
        <v>11686892.620000001</v>
      </c>
      <c r="X36" s="354">
        <f t="shared" si="11"/>
        <v>13668296.82</v>
      </c>
      <c r="Y36" s="199">
        <f t="shared" si="4"/>
        <v>-28.655327748786387</v>
      </c>
      <c r="Z36" s="164">
        <f t="shared" si="5"/>
        <v>19.476559092512762</v>
      </c>
      <c r="AA36" s="344">
        <f t="shared" si="5"/>
        <v>8.8329164450857149</v>
      </c>
    </row>
    <row r="37" spans="1:27">
      <c r="A37" s="357" t="s">
        <v>6</v>
      </c>
      <c r="B37" s="98">
        <v>328058.09999999998</v>
      </c>
      <c r="C37" s="98">
        <v>48900</v>
      </c>
      <c r="D37" s="98">
        <v>99593.760000000009</v>
      </c>
      <c r="E37" s="98">
        <v>0</v>
      </c>
      <c r="F37" s="164">
        <f t="shared" si="6"/>
        <v>476551.86</v>
      </c>
      <c r="G37" s="98">
        <v>705117.57</v>
      </c>
      <c r="H37" s="98">
        <v>17340</v>
      </c>
      <c r="I37" s="98">
        <v>56100.77</v>
      </c>
      <c r="J37" s="98">
        <v>0</v>
      </c>
      <c r="K37" s="344">
        <f t="shared" si="7"/>
        <v>778558.34</v>
      </c>
      <c r="L37" s="354">
        <f t="shared" si="8"/>
        <v>1255110.2</v>
      </c>
      <c r="M37" s="357" t="s">
        <v>6</v>
      </c>
      <c r="N37" s="98">
        <v>302028.59999999998</v>
      </c>
      <c r="O37" s="98">
        <v>72020</v>
      </c>
      <c r="P37" s="98">
        <v>103976.35999999999</v>
      </c>
      <c r="Q37" s="98">
        <v>0</v>
      </c>
      <c r="R37" s="164">
        <f t="shared" si="9"/>
        <v>478024.95999999996</v>
      </c>
      <c r="S37" s="98">
        <v>749946.44000000006</v>
      </c>
      <c r="T37" s="98">
        <v>19060</v>
      </c>
      <c r="U37" s="98">
        <v>48419.33</v>
      </c>
      <c r="V37" s="98">
        <v>0</v>
      </c>
      <c r="W37" s="344">
        <f t="shared" si="10"/>
        <v>817425.77</v>
      </c>
      <c r="X37" s="354">
        <f t="shared" si="11"/>
        <v>1295450.73</v>
      </c>
      <c r="Y37" s="459">
        <f t="shared" si="4"/>
        <v>0.30911640970197385</v>
      </c>
      <c r="Z37" s="164">
        <f t="shared" si="5"/>
        <v>4.992230896916479</v>
      </c>
      <c r="AA37" s="344">
        <f t="shared" si="5"/>
        <v>3.2141026341750734</v>
      </c>
    </row>
    <row r="38" spans="1:27">
      <c r="A38" s="359" t="s">
        <v>7</v>
      </c>
      <c r="B38" s="293">
        <v>1398199.7</v>
      </c>
      <c r="C38" s="293">
        <v>133590</v>
      </c>
      <c r="D38" s="293">
        <v>73363.66</v>
      </c>
      <c r="E38" s="293">
        <v>0</v>
      </c>
      <c r="F38" s="344">
        <f t="shared" si="6"/>
        <v>1605153.3599999999</v>
      </c>
      <c r="G38" s="293">
        <v>741428.45000000007</v>
      </c>
      <c r="H38" s="293">
        <v>152930</v>
      </c>
      <c r="I38" s="293">
        <v>72310.31</v>
      </c>
      <c r="J38" s="293">
        <v>0</v>
      </c>
      <c r="K38" s="344">
        <f t="shared" si="7"/>
        <v>966668.76</v>
      </c>
      <c r="L38" s="345">
        <f t="shared" si="8"/>
        <v>2571822.12</v>
      </c>
      <c r="M38" s="359" t="s">
        <v>7</v>
      </c>
      <c r="N38" s="293">
        <v>3959225.8</v>
      </c>
      <c r="O38" s="293">
        <v>122669.75</v>
      </c>
      <c r="P38" s="293">
        <v>95579.63</v>
      </c>
      <c r="Q38" s="293">
        <v>0</v>
      </c>
      <c r="R38" s="344">
        <f t="shared" si="9"/>
        <v>4177475.1799999997</v>
      </c>
      <c r="S38" s="293">
        <v>1414214.11</v>
      </c>
      <c r="T38" s="293">
        <v>143230</v>
      </c>
      <c r="U38" s="293">
        <v>80014.720000000001</v>
      </c>
      <c r="V38" s="293">
        <v>0</v>
      </c>
      <c r="W38" s="344">
        <f t="shared" si="10"/>
        <v>1637458.83</v>
      </c>
      <c r="X38" s="349">
        <f t="shared" si="11"/>
        <v>5814934.0099999998</v>
      </c>
      <c r="Y38" s="459">
        <f t="shared" si="4"/>
        <v>160.25395978363088</v>
      </c>
      <c r="Z38" s="164">
        <f t="shared" si="5"/>
        <v>69.39192593748453</v>
      </c>
      <c r="AA38" s="344">
        <f t="shared" si="5"/>
        <v>126.10171849676755</v>
      </c>
    </row>
    <row r="39" spans="1:27">
      <c r="A39" s="359" t="s">
        <v>3</v>
      </c>
      <c r="B39" s="293">
        <v>1254264</v>
      </c>
      <c r="C39" s="293">
        <v>41780</v>
      </c>
      <c r="D39" s="293">
        <v>104839.52000000002</v>
      </c>
      <c r="E39" s="293">
        <v>0</v>
      </c>
      <c r="F39" s="164">
        <f t="shared" si="6"/>
        <v>1400883.52</v>
      </c>
      <c r="G39" s="293">
        <v>1139439.98</v>
      </c>
      <c r="H39" s="293">
        <v>20390</v>
      </c>
      <c r="I39" s="293">
        <v>29437.389999999992</v>
      </c>
      <c r="J39" s="293">
        <v>0</v>
      </c>
      <c r="K39" s="344">
        <f t="shared" si="7"/>
        <v>1189267.3699999999</v>
      </c>
      <c r="L39" s="354">
        <f t="shared" si="8"/>
        <v>2590150.8899999997</v>
      </c>
      <c r="M39" s="359" t="s">
        <v>3</v>
      </c>
      <c r="N39" s="293">
        <v>4891469.05</v>
      </c>
      <c r="O39" s="293">
        <v>83551</v>
      </c>
      <c r="P39" s="293">
        <v>82600.530000000013</v>
      </c>
      <c r="Q39" s="293">
        <v>0</v>
      </c>
      <c r="R39" s="164">
        <f t="shared" si="9"/>
        <v>5057620.58</v>
      </c>
      <c r="S39" s="293">
        <v>1994402.15</v>
      </c>
      <c r="T39" s="293">
        <v>41540</v>
      </c>
      <c r="U39" s="293">
        <v>27438.85</v>
      </c>
      <c r="V39" s="293">
        <v>0</v>
      </c>
      <c r="W39" s="344">
        <f t="shared" si="10"/>
        <v>2063381</v>
      </c>
      <c r="X39" s="354">
        <f t="shared" si="11"/>
        <v>7121001.5800000001</v>
      </c>
      <c r="Y39" s="460">
        <f t="shared" si="4"/>
        <v>261.03077149483494</v>
      </c>
      <c r="Z39" s="164">
        <f t="shared" si="5"/>
        <v>73.500177676614484</v>
      </c>
      <c r="AA39" s="164">
        <f t="shared" si="5"/>
        <v>174.92612911057088</v>
      </c>
    </row>
    <row r="40" spans="1:27">
      <c r="A40" s="357" t="s">
        <v>4</v>
      </c>
      <c r="B40" s="98">
        <v>383320</v>
      </c>
      <c r="C40" s="98">
        <v>115948</v>
      </c>
      <c r="D40" s="98">
        <v>63906.240000000005</v>
      </c>
      <c r="E40" s="98">
        <v>0</v>
      </c>
      <c r="F40" s="164">
        <f t="shared" si="6"/>
        <v>563174.24</v>
      </c>
      <c r="G40" s="98">
        <v>808194.41</v>
      </c>
      <c r="H40" s="98">
        <v>7950</v>
      </c>
      <c r="I40" s="98">
        <v>17695.189999999999</v>
      </c>
      <c r="J40" s="98">
        <v>0</v>
      </c>
      <c r="K40" s="344">
        <f t="shared" si="7"/>
        <v>833839.6</v>
      </c>
      <c r="L40" s="354">
        <f t="shared" si="8"/>
        <v>1397013.8399999999</v>
      </c>
      <c r="M40" s="357" t="s">
        <v>4</v>
      </c>
      <c r="N40" s="98">
        <v>90657</v>
      </c>
      <c r="O40" s="98">
        <v>50060</v>
      </c>
      <c r="P40" s="98">
        <v>74267.140000000014</v>
      </c>
      <c r="Q40" s="98">
        <v>0</v>
      </c>
      <c r="R40" s="164">
        <f t="shared" si="9"/>
        <v>214984.14</v>
      </c>
      <c r="S40" s="98">
        <v>900341.51</v>
      </c>
      <c r="T40" s="98">
        <v>12300</v>
      </c>
      <c r="U40" s="98">
        <v>17550.579999999994</v>
      </c>
      <c r="V40" s="98">
        <v>0</v>
      </c>
      <c r="W40" s="344">
        <f t="shared" si="10"/>
        <v>930192.09</v>
      </c>
      <c r="X40" s="354">
        <f t="shared" si="11"/>
        <v>1145176.23</v>
      </c>
      <c r="Y40" s="199">
        <f t="shared" si="4"/>
        <v>-61.826354131538402</v>
      </c>
      <c r="Z40" s="164">
        <f t="shared" si="5"/>
        <v>11.555278737061661</v>
      </c>
      <c r="AA40" s="446">
        <f t="shared" si="5"/>
        <v>-18.026851473425623</v>
      </c>
    </row>
    <row r="41" spans="1:27">
      <c r="A41" s="357" t="s">
        <v>107</v>
      </c>
      <c r="B41" s="98">
        <v>2071709.38</v>
      </c>
      <c r="C41" s="98">
        <v>49624</v>
      </c>
      <c r="D41" s="98">
        <v>67830.880000000005</v>
      </c>
      <c r="E41" s="98">
        <v>0</v>
      </c>
      <c r="F41" s="164">
        <f t="shared" si="6"/>
        <v>2189164.2599999998</v>
      </c>
      <c r="G41" s="98">
        <v>1882414.53</v>
      </c>
      <c r="H41" s="98">
        <v>8410</v>
      </c>
      <c r="I41" s="98">
        <v>23851.749999999996</v>
      </c>
      <c r="J41" s="98">
        <v>0</v>
      </c>
      <c r="K41" s="344">
        <f t="shared" si="7"/>
        <v>1914676.28</v>
      </c>
      <c r="L41" s="354">
        <f t="shared" si="8"/>
        <v>4103840.54</v>
      </c>
      <c r="M41" s="357" t="s">
        <v>107</v>
      </c>
      <c r="N41" s="98">
        <v>880750.85000000009</v>
      </c>
      <c r="O41" s="98">
        <v>73926</v>
      </c>
      <c r="P41" s="98">
        <v>79166.52</v>
      </c>
      <c r="Q41" s="98">
        <v>0</v>
      </c>
      <c r="R41" s="164">
        <f t="shared" si="9"/>
        <v>1033843.3700000001</v>
      </c>
      <c r="S41" s="98">
        <v>3427055.0200000005</v>
      </c>
      <c r="T41" s="98">
        <v>10010</v>
      </c>
      <c r="U41" s="98">
        <v>27363.229999999992</v>
      </c>
      <c r="V41" s="98">
        <v>0</v>
      </c>
      <c r="W41" s="344">
        <f t="shared" si="10"/>
        <v>3464428.2500000005</v>
      </c>
      <c r="X41" s="354">
        <f t="shared" si="11"/>
        <v>4498271.620000001</v>
      </c>
      <c r="Y41" s="199">
        <f t="shared" si="4"/>
        <v>-52.774518162469903</v>
      </c>
      <c r="Z41" s="164">
        <f t="shared" si="5"/>
        <v>80.940678389769374</v>
      </c>
      <c r="AA41" s="164">
        <f>SUM((X41-L41)*100/L41)</f>
        <v>9.6112672058159703</v>
      </c>
    </row>
    <row r="42" spans="1:27">
      <c r="A42" s="362" t="s">
        <v>350</v>
      </c>
      <c r="B42" s="363">
        <v>0</v>
      </c>
      <c r="C42" s="363">
        <v>0</v>
      </c>
      <c r="D42" s="363">
        <v>0</v>
      </c>
      <c r="E42" s="363">
        <v>0</v>
      </c>
      <c r="F42" s="364">
        <f t="shared" si="6"/>
        <v>0</v>
      </c>
      <c r="G42" s="363">
        <v>0</v>
      </c>
      <c r="H42" s="363">
        <v>0</v>
      </c>
      <c r="I42" s="363">
        <v>0</v>
      </c>
      <c r="J42" s="363">
        <v>0</v>
      </c>
      <c r="K42" s="364">
        <f t="shared" si="7"/>
        <v>0</v>
      </c>
      <c r="L42" s="365">
        <f t="shared" si="8"/>
        <v>0</v>
      </c>
      <c r="M42" s="362" t="s">
        <v>350</v>
      </c>
      <c r="N42" s="363">
        <v>231902.97</v>
      </c>
      <c r="O42" s="363">
        <v>55860</v>
      </c>
      <c r="P42" s="363">
        <v>1056</v>
      </c>
      <c r="Q42" s="363">
        <v>0</v>
      </c>
      <c r="R42" s="364">
        <f t="shared" si="9"/>
        <v>288818.96999999997</v>
      </c>
      <c r="S42" s="363">
        <v>2338259.0500000003</v>
      </c>
      <c r="T42" s="363">
        <v>0</v>
      </c>
      <c r="U42" s="363">
        <v>4955.3</v>
      </c>
      <c r="V42" s="363">
        <v>0</v>
      </c>
      <c r="W42" s="364">
        <f>SUM(S42:V42)</f>
        <v>2343214.35</v>
      </c>
      <c r="X42" s="365">
        <f t="shared" si="11"/>
        <v>2632033.3200000003</v>
      </c>
      <c r="Y42" s="537">
        <v>100</v>
      </c>
      <c r="Z42" s="537">
        <v>100</v>
      </c>
      <c r="AA42" s="364">
        <v>100</v>
      </c>
    </row>
    <row r="43" spans="1:27" s="100" customFormat="1" ht="24.75" thickBot="1">
      <c r="A43" s="166" t="s">
        <v>50</v>
      </c>
      <c r="B43" s="386">
        <f t="shared" ref="B43:K43" si="12">SUM(B15+B27)</f>
        <v>421941262.09000003</v>
      </c>
      <c r="C43" s="386">
        <f t="shared" si="12"/>
        <v>15677209.790000001</v>
      </c>
      <c r="D43" s="386">
        <f t="shared" si="12"/>
        <v>200306285.68999988</v>
      </c>
      <c r="E43" s="386">
        <f t="shared" si="12"/>
        <v>13792585.899999999</v>
      </c>
      <c r="F43" s="386">
        <f t="shared" si="12"/>
        <v>651717343.46999979</v>
      </c>
      <c r="G43" s="386">
        <f t="shared" si="12"/>
        <v>383994849.04000008</v>
      </c>
      <c r="H43" s="386">
        <f t="shared" si="12"/>
        <v>5990748.2800000003</v>
      </c>
      <c r="I43" s="386">
        <f t="shared" si="12"/>
        <v>66396682.290000007</v>
      </c>
      <c r="J43" s="386">
        <f t="shared" si="12"/>
        <v>15336814.4</v>
      </c>
      <c r="K43" s="386">
        <f t="shared" si="12"/>
        <v>471719094.01000005</v>
      </c>
      <c r="L43" s="387">
        <f t="shared" si="8"/>
        <v>1123436437.4799998</v>
      </c>
      <c r="M43" s="166" t="s">
        <v>50</v>
      </c>
      <c r="N43" s="386">
        <f>+N15+N27</f>
        <v>479372008.47000009</v>
      </c>
      <c r="O43" s="386">
        <f>+O15+O27</f>
        <v>17220964.57</v>
      </c>
      <c r="P43" s="386">
        <f>+P15+P27</f>
        <v>235682741.84000006</v>
      </c>
      <c r="Q43" s="386">
        <f>+Q15+Q27</f>
        <v>61999065.799999997</v>
      </c>
      <c r="R43" s="386">
        <f t="shared" ref="R43:W43" si="13">SUM(R15+R27)</f>
        <v>794274780.68000007</v>
      </c>
      <c r="S43" s="386">
        <f t="shared" si="13"/>
        <v>552918687.78000021</v>
      </c>
      <c r="T43" s="386">
        <f t="shared" si="13"/>
        <v>9534607</v>
      </c>
      <c r="U43" s="386">
        <f t="shared" si="13"/>
        <v>68068043.25</v>
      </c>
      <c r="V43" s="386">
        <f t="shared" si="13"/>
        <v>31707343.07</v>
      </c>
      <c r="W43" s="386">
        <f t="shared" si="13"/>
        <v>662228681.10000014</v>
      </c>
      <c r="X43" s="387">
        <f t="shared" si="11"/>
        <v>1456503461.7800002</v>
      </c>
      <c r="Y43" s="532">
        <f t="shared" si="4"/>
        <v>21.87412052761529</v>
      </c>
      <c r="Z43" s="167">
        <f>SUM((W43-K43)*100/K43)</f>
        <v>40.386236111519672</v>
      </c>
      <c r="AA43" s="167">
        <f t="shared" ref="AA43" si="14">SUM((X43-L43)*100/L43)</f>
        <v>29.647162330528371</v>
      </c>
    </row>
    <row r="44" spans="1:27" ht="24.75" thickTop="1"/>
  </sheetData>
  <mergeCells count="16">
    <mergeCell ref="B8:F8"/>
    <mergeCell ref="G8:K8"/>
    <mergeCell ref="A1:L1"/>
    <mergeCell ref="M1:X1"/>
    <mergeCell ref="Z6:AA6"/>
    <mergeCell ref="N7:X7"/>
    <mergeCell ref="N8:R8"/>
    <mergeCell ref="S8:W8"/>
    <mergeCell ref="A4:L4"/>
    <mergeCell ref="M4:X4"/>
    <mergeCell ref="K6:L6"/>
    <mergeCell ref="B7:L7"/>
    <mergeCell ref="A2:L2"/>
    <mergeCell ref="A3:L3"/>
    <mergeCell ref="M2:X2"/>
    <mergeCell ref="M3:X3"/>
  </mergeCells>
  <phoneticPr fontId="2" type="noConversion"/>
  <pageMargins left="0.19685039370078741" right="0.15748031496062992" top="0.23622047244094491" bottom="0.23622047244094491" header="0.15748031496062992" footer="0.15748031496062992"/>
  <pageSetup paperSize="9" scale="55" orientation="landscape" r:id="rId1"/>
  <headerFooter alignWithMargins="0"/>
  <colBreaks count="1" manualBreakCount="1">
    <brk id="12" max="42" man="1"/>
  </colBreaks>
  <drawing r:id="rId2"/>
</worksheet>
</file>

<file path=xl/worksheets/sheet15.xml><?xml version="1.0" encoding="utf-8"?>
<worksheet xmlns="http://schemas.openxmlformats.org/spreadsheetml/2006/main" xmlns:r="http://schemas.openxmlformats.org/officeDocument/2006/relationships">
  <sheetPr>
    <tabColor rgb="FFFF0000"/>
  </sheetPr>
  <dimension ref="A1:A78"/>
  <sheetViews>
    <sheetView workbookViewId="0">
      <selection activeCell="A11" sqref="A11"/>
    </sheetView>
  </sheetViews>
  <sheetFormatPr defaultRowHeight="21.4" customHeight="1"/>
  <cols>
    <col min="1" max="1" width="104.5703125" style="208" customWidth="1"/>
    <col min="2" max="5" width="9.140625" style="208"/>
    <col min="6" max="6" width="11.140625" style="208" customWidth="1"/>
    <col min="7" max="9" width="9.140625" style="208"/>
    <col min="10" max="10" width="11.7109375" style="208" customWidth="1"/>
    <col min="11" max="11" width="11.5703125" style="208" customWidth="1"/>
    <col min="12" max="12" width="12.85546875" style="208" customWidth="1"/>
    <col min="13" max="16384" width="9.140625" style="208"/>
  </cols>
  <sheetData>
    <row r="1" spans="1:1" s="213" customFormat="1" ht="30" customHeight="1">
      <c r="A1" s="225" t="s">
        <v>0</v>
      </c>
    </row>
    <row r="2" spans="1:1" s="213" customFormat="1" ht="25.5" customHeight="1">
      <c r="A2" s="213" t="s">
        <v>163</v>
      </c>
    </row>
    <row r="3" spans="1:1" s="213" customFormat="1" ht="16.899999999999999" customHeight="1"/>
    <row r="4" spans="1:1" s="213" customFormat="1" ht="25.5" customHeight="1">
      <c r="A4" s="227" t="s">
        <v>272</v>
      </c>
    </row>
    <row r="5" spans="1:1" s="213" customFormat="1" ht="26.25" customHeight="1">
      <c r="A5" s="226" t="s">
        <v>386</v>
      </c>
    </row>
    <row r="6" spans="1:1" s="213" customFormat="1" ht="27.75" customHeight="1">
      <c r="A6" s="226" t="s">
        <v>449</v>
      </c>
    </row>
    <row r="7" spans="1:1" s="213" customFormat="1" ht="24.75" customHeight="1">
      <c r="A7" s="226" t="s">
        <v>450</v>
      </c>
    </row>
    <row r="8" spans="1:1" s="213" customFormat="1" ht="27" customHeight="1">
      <c r="A8" s="226" t="s">
        <v>451</v>
      </c>
    </row>
    <row r="9" spans="1:1" s="213" customFormat="1" ht="21.4" customHeight="1">
      <c r="A9" s="226"/>
    </row>
    <row r="10" spans="1:1" s="213" customFormat="1" ht="24.75" customHeight="1">
      <c r="A10" s="227" t="s">
        <v>275</v>
      </c>
    </row>
    <row r="11" spans="1:1" s="213" customFormat="1" ht="25.5" customHeight="1">
      <c r="A11" s="226" t="s">
        <v>387</v>
      </c>
    </row>
    <row r="12" spans="1:1" s="213" customFormat="1" ht="27.75" customHeight="1">
      <c r="A12" s="226" t="s">
        <v>449</v>
      </c>
    </row>
    <row r="13" spans="1:1" s="213" customFormat="1" ht="26.25" customHeight="1">
      <c r="A13" s="226" t="s">
        <v>450</v>
      </c>
    </row>
    <row r="14" spans="1:1" s="213" customFormat="1" ht="24.75" customHeight="1">
      <c r="A14" s="226" t="s">
        <v>451</v>
      </c>
    </row>
    <row r="15" spans="1:1" s="213" customFormat="1" ht="21.4" customHeight="1">
      <c r="A15" s="226"/>
    </row>
    <row r="16" spans="1:1" s="213" customFormat="1" ht="25.5" customHeight="1">
      <c r="A16" s="227" t="s">
        <v>452</v>
      </c>
    </row>
    <row r="17" spans="1:1" s="213" customFormat="1" ht="27" customHeight="1">
      <c r="A17" s="226" t="s">
        <v>453</v>
      </c>
    </row>
    <row r="18" spans="1:1" s="213" customFormat="1" ht="27" customHeight="1">
      <c r="A18" s="226" t="s">
        <v>454</v>
      </c>
    </row>
    <row r="19" spans="1:1" s="213" customFormat="1" ht="21.4" customHeight="1">
      <c r="A19" s="226"/>
    </row>
    <row r="20" spans="1:1" s="213" customFormat="1" ht="25.5" customHeight="1">
      <c r="A20" s="227" t="s">
        <v>273</v>
      </c>
    </row>
    <row r="21" spans="1:1" s="213" customFormat="1" ht="27" customHeight="1">
      <c r="A21" s="226" t="s">
        <v>455</v>
      </c>
    </row>
    <row r="22" spans="1:1" s="213" customFormat="1" ht="28.5" customHeight="1">
      <c r="A22" s="400" t="s">
        <v>444</v>
      </c>
    </row>
    <row r="23" spans="1:1" s="213" customFormat="1" ht="26.25" customHeight="1">
      <c r="A23" s="557" t="s">
        <v>456</v>
      </c>
    </row>
    <row r="24" spans="1:1" s="213" customFormat="1" ht="21.4" customHeight="1">
      <c r="A24" s="400"/>
    </row>
    <row r="25" spans="1:1" s="213" customFormat="1" ht="25.5" customHeight="1">
      <c r="A25" s="228" t="s">
        <v>457</v>
      </c>
    </row>
    <row r="26" spans="1:1" s="213" customFormat="1" ht="26.25" customHeight="1">
      <c r="A26" s="226" t="s">
        <v>458</v>
      </c>
    </row>
    <row r="27" spans="1:1" s="213" customFormat="1" ht="27.75" customHeight="1">
      <c r="A27" s="400" t="s">
        <v>459</v>
      </c>
    </row>
    <row r="28" spans="1:1" s="213" customFormat="1" ht="21.4" customHeight="1">
      <c r="A28" s="400"/>
    </row>
    <row r="29" spans="1:1" s="213" customFormat="1" ht="24.75" customHeight="1">
      <c r="A29" s="228" t="s">
        <v>460</v>
      </c>
    </row>
    <row r="30" spans="1:1" s="213" customFormat="1" ht="25.5" customHeight="1">
      <c r="A30" s="226" t="s">
        <v>461</v>
      </c>
    </row>
    <row r="31" spans="1:1" s="213" customFormat="1" ht="24.75" customHeight="1">
      <c r="A31" s="400" t="s">
        <v>462</v>
      </c>
    </row>
    <row r="32" spans="1:1" s="213" customFormat="1" ht="21.4" customHeight="1">
      <c r="A32" s="400"/>
    </row>
    <row r="33" spans="1:1" s="213" customFormat="1" ht="24" customHeight="1">
      <c r="A33" s="228" t="s">
        <v>463</v>
      </c>
    </row>
    <row r="34" spans="1:1" s="213" customFormat="1" ht="23.25" customHeight="1">
      <c r="A34" s="226" t="s">
        <v>464</v>
      </c>
    </row>
    <row r="35" spans="1:1" s="213" customFormat="1" ht="27" customHeight="1">
      <c r="A35" s="400" t="s">
        <v>465</v>
      </c>
    </row>
    <row r="36" spans="1:1" s="213" customFormat="1" ht="21.4" customHeight="1">
      <c r="A36" s="226"/>
    </row>
    <row r="37" spans="1:1" s="213" customFormat="1" ht="27.75" customHeight="1">
      <c r="A37" s="228" t="s">
        <v>466</v>
      </c>
    </row>
    <row r="38" spans="1:1" s="213" customFormat="1" ht="24.75" customHeight="1">
      <c r="A38" s="226" t="s">
        <v>467</v>
      </c>
    </row>
    <row r="39" spans="1:1" s="213" customFormat="1" ht="27.75" customHeight="1">
      <c r="A39" s="226" t="s">
        <v>604</v>
      </c>
    </row>
    <row r="40" spans="1:1" s="213" customFormat="1" ht="21.4" customHeight="1">
      <c r="A40" s="400"/>
    </row>
    <row r="41" spans="1:1" s="213" customFormat="1" ht="21.4" customHeight="1">
      <c r="A41" s="227" t="s">
        <v>598</v>
      </c>
    </row>
    <row r="42" spans="1:1" s="213" customFormat="1" ht="23.25" customHeight="1">
      <c r="A42" s="400" t="s">
        <v>599</v>
      </c>
    </row>
    <row r="43" spans="1:1" s="213" customFormat="1" ht="24.75" customHeight="1">
      <c r="A43" s="400" t="s">
        <v>600</v>
      </c>
    </row>
    <row r="44" spans="1:1" s="213" customFormat="1" ht="21.4" customHeight="1">
      <c r="A44" s="400"/>
    </row>
    <row r="45" spans="1:1" s="213" customFormat="1" ht="26.25" customHeight="1">
      <c r="A45" s="228" t="s">
        <v>601</v>
      </c>
    </row>
    <row r="46" spans="1:1" s="213" customFormat="1" ht="26.25" customHeight="1">
      <c r="A46" s="226" t="s">
        <v>468</v>
      </c>
    </row>
    <row r="47" spans="1:1" s="213" customFormat="1" ht="24.75" customHeight="1">
      <c r="A47" s="226" t="s">
        <v>469</v>
      </c>
    </row>
    <row r="48" spans="1:1" s="213" customFormat="1" ht="23.25" customHeight="1">
      <c r="A48" s="564" t="s">
        <v>470</v>
      </c>
    </row>
    <row r="49" spans="1:1" s="213" customFormat="1" ht="21.4" customHeight="1">
      <c r="A49" s="563"/>
    </row>
    <row r="50" spans="1:1" s="213" customFormat="1" ht="26.25" customHeight="1">
      <c r="A50" s="228" t="s">
        <v>602</v>
      </c>
    </row>
    <row r="51" spans="1:1" s="213" customFormat="1" ht="27" customHeight="1">
      <c r="A51" s="226" t="s">
        <v>471</v>
      </c>
    </row>
    <row r="52" spans="1:1" s="213" customFormat="1" ht="24" customHeight="1">
      <c r="A52" s="400" t="s">
        <v>472</v>
      </c>
    </row>
    <row r="53" spans="1:1" s="213" customFormat="1" ht="24" customHeight="1">
      <c r="A53" s="400" t="s">
        <v>473</v>
      </c>
    </row>
    <row r="54" spans="1:1" s="213" customFormat="1" ht="24.75" customHeight="1">
      <c r="A54" s="400" t="s">
        <v>474</v>
      </c>
    </row>
    <row r="55" spans="1:1" s="213" customFormat="1" ht="27" customHeight="1">
      <c r="A55" s="400" t="s">
        <v>475</v>
      </c>
    </row>
    <row r="56" spans="1:1" s="213" customFormat="1" ht="21.4" customHeight="1">
      <c r="A56" s="400"/>
    </row>
    <row r="57" spans="1:1" s="213" customFormat="1" ht="24.75" customHeight="1">
      <c r="A57" s="228" t="s">
        <v>3</v>
      </c>
    </row>
    <row r="58" spans="1:1" s="213" customFormat="1" ht="27.75" customHeight="1">
      <c r="A58" s="226" t="s">
        <v>476</v>
      </c>
    </row>
    <row r="59" spans="1:1" s="213" customFormat="1" ht="27.75" customHeight="1">
      <c r="A59" s="400" t="s">
        <v>477</v>
      </c>
    </row>
    <row r="60" spans="1:1" s="213" customFormat="1" ht="27" customHeight="1">
      <c r="A60" s="563" t="s">
        <v>478</v>
      </c>
    </row>
    <row r="61" spans="1:1" s="216" customFormat="1" ht="21.4" customHeight="1">
      <c r="A61" s="565"/>
    </row>
    <row r="62" spans="1:1" s="213" customFormat="1" ht="26.25" customHeight="1">
      <c r="A62" s="228" t="s">
        <v>603</v>
      </c>
    </row>
    <row r="63" spans="1:1" s="213" customFormat="1" ht="24.75" customHeight="1">
      <c r="A63" s="226" t="s">
        <v>453</v>
      </c>
    </row>
    <row r="64" spans="1:1" s="213" customFormat="1" ht="27" customHeight="1">
      <c r="A64" s="226" t="s">
        <v>454</v>
      </c>
    </row>
    <row r="65" spans="1:1" s="213" customFormat="1" ht="21.4" customHeight="1"/>
    <row r="66" spans="1:1" s="213" customFormat="1" ht="21.4" customHeight="1">
      <c r="A66" s="217"/>
    </row>
    <row r="67" spans="1:1" s="213" customFormat="1" ht="13.15" customHeight="1">
      <c r="A67" s="217"/>
    </row>
    <row r="68" spans="1:1" s="213" customFormat="1" ht="21.4" customHeight="1">
      <c r="A68" s="217"/>
    </row>
    <row r="69" spans="1:1" s="213" customFormat="1" ht="21.4" customHeight="1">
      <c r="A69" s="217"/>
    </row>
    <row r="70" spans="1:1" s="213" customFormat="1" ht="21.4" customHeight="1">
      <c r="A70" s="217"/>
    </row>
    <row r="71" spans="1:1" s="213" customFormat="1" ht="21.4" customHeight="1">
      <c r="A71" s="217"/>
    </row>
    <row r="72" spans="1:1" s="213" customFormat="1" ht="21.4" customHeight="1">
      <c r="A72" s="217"/>
    </row>
    <row r="73" spans="1:1" s="213" customFormat="1" ht="21.4" customHeight="1">
      <c r="A73" s="217"/>
    </row>
    <row r="74" spans="1:1" s="213" customFormat="1" ht="21.4" customHeight="1">
      <c r="A74" s="217"/>
    </row>
    <row r="75" spans="1:1" s="213" customFormat="1" ht="21.4" customHeight="1">
      <c r="A75" s="217"/>
    </row>
    <row r="76" spans="1:1" s="213" customFormat="1" ht="21.4" customHeight="1">
      <c r="A76" s="217"/>
    </row>
    <row r="77" spans="1:1" s="213" customFormat="1" ht="21.4" customHeight="1">
      <c r="A77" s="217"/>
    </row>
    <row r="78" spans="1:1" ht="21.4" customHeight="1">
      <c r="A78" s="218"/>
    </row>
  </sheetData>
  <phoneticPr fontId="10" type="noConversion"/>
  <pageMargins left="0.31496062992125984" right="0.15748031496062992" top="0.19685039370078741" bottom="0.39370078740157483" header="0.15748031496062992" footer="0.27559055118110237"/>
  <pageSetup scale="89" orientation="portrait" r:id="rId1"/>
  <headerFooter alignWithMargins="0">
    <oddFooter>&amp;C&amp;P</oddFooter>
  </headerFooter>
  <rowBreaks count="2" manualBreakCount="2">
    <brk id="31" max="16383" man="1"/>
    <brk id="6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>
  <sheetPr enableFormatConditionsCalculation="0">
    <tabColor rgb="FFFFFF00"/>
  </sheetPr>
  <dimension ref="A1:Z25"/>
  <sheetViews>
    <sheetView zoomScaleNormal="70" workbookViewId="0">
      <selection activeCell="A22" sqref="A22"/>
    </sheetView>
  </sheetViews>
  <sheetFormatPr defaultColWidth="9.140625" defaultRowHeight="21.75"/>
  <cols>
    <col min="1" max="1" width="25" style="266" customWidth="1"/>
    <col min="2" max="2" width="17.140625" style="32" customWidth="1"/>
    <col min="3" max="3" width="16.140625" style="32" customWidth="1"/>
    <col min="4" max="4" width="16.85546875" style="11" bestFit="1" customWidth="1"/>
    <col min="5" max="5" width="17.140625" style="32" customWidth="1"/>
    <col min="6" max="6" width="16.5703125" style="32" customWidth="1"/>
    <col min="7" max="7" width="18.85546875" style="11" bestFit="1" customWidth="1"/>
    <col min="8" max="8" width="16.140625" style="32" customWidth="1"/>
    <col min="9" max="9" width="15.85546875" style="32" customWidth="1"/>
    <col min="10" max="10" width="14.85546875" style="32" customWidth="1"/>
    <col min="11" max="11" width="16.85546875" style="32" bestFit="1" customWidth="1"/>
    <col min="12" max="12" width="18.140625" style="32" bestFit="1" customWidth="1"/>
    <col min="13" max="13" width="14.42578125" style="32" customWidth="1"/>
    <col min="14" max="15" width="18.140625" style="12" bestFit="1" customWidth="1"/>
    <col min="16" max="16" width="14.140625" style="12" bestFit="1" customWidth="1"/>
    <col min="17" max="26" width="9.140625" style="12"/>
    <col min="27" max="16384" width="9.140625" style="53"/>
  </cols>
  <sheetData>
    <row r="1" spans="1:26" s="2" customFormat="1" ht="27.75">
      <c r="A1" s="623" t="s">
        <v>177</v>
      </c>
      <c r="B1" s="623"/>
      <c r="C1" s="623"/>
      <c r="D1" s="623"/>
      <c r="E1" s="623"/>
      <c r="F1" s="623"/>
      <c r="G1" s="623"/>
      <c r="H1" s="623"/>
      <c r="I1" s="623"/>
      <c r="J1" s="623"/>
      <c r="K1" s="29"/>
      <c r="L1" s="29"/>
      <c r="M1" s="29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 s="2" customFormat="1" ht="22.5" customHeight="1">
      <c r="A2" s="623" t="s">
        <v>253</v>
      </c>
      <c r="B2" s="623"/>
      <c r="C2" s="623"/>
      <c r="D2" s="623"/>
      <c r="E2" s="623"/>
      <c r="F2" s="623"/>
      <c r="G2" s="623"/>
      <c r="H2" s="623"/>
      <c r="I2" s="623"/>
      <c r="J2" s="623"/>
      <c r="K2" s="29"/>
      <c r="L2" s="29"/>
      <c r="M2" s="29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26" s="2" customFormat="1" ht="26.25" customHeight="1">
      <c r="A3" s="623" t="s">
        <v>277</v>
      </c>
      <c r="B3" s="623"/>
      <c r="C3" s="623"/>
      <c r="D3" s="623"/>
      <c r="E3" s="623"/>
      <c r="F3" s="623"/>
      <c r="G3" s="623"/>
      <c r="H3" s="623"/>
      <c r="I3" s="623"/>
      <c r="J3" s="623"/>
      <c r="K3" s="29"/>
      <c r="L3" s="29"/>
      <c r="M3" s="29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26" s="2" customFormat="1" ht="27.75">
      <c r="A4" s="604" t="s">
        <v>304</v>
      </c>
      <c r="B4" s="604"/>
      <c r="C4" s="604"/>
      <c r="D4" s="604"/>
      <c r="E4" s="604"/>
      <c r="F4" s="604"/>
      <c r="G4" s="604"/>
      <c r="H4" s="604"/>
      <c r="I4" s="604"/>
      <c r="J4" s="604"/>
      <c r="K4" s="29"/>
      <c r="L4" s="29"/>
      <c r="M4" s="29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26" s="2" customFormat="1" ht="18.75" customHeight="1">
      <c r="A5" s="541"/>
      <c r="B5" s="541"/>
      <c r="C5" s="541"/>
      <c r="D5" s="541"/>
      <c r="E5" s="541"/>
      <c r="F5" s="541"/>
      <c r="G5" s="541"/>
      <c r="H5" s="541"/>
      <c r="I5" s="541"/>
      <c r="J5" s="541"/>
      <c r="K5" s="29"/>
      <c r="L5" s="29"/>
      <c r="M5" s="29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26" s="2" customFormat="1" ht="27.75">
      <c r="A6" s="366" t="s">
        <v>228</v>
      </c>
      <c r="B6" s="29"/>
      <c r="C6" s="29"/>
      <c r="D6" s="29"/>
      <c r="E6" s="29"/>
      <c r="F6" s="29"/>
      <c r="G6" s="29"/>
      <c r="H6" s="29"/>
      <c r="I6" s="29"/>
      <c r="J6" s="29"/>
      <c r="K6" s="29"/>
      <c r="L6" s="29"/>
      <c r="M6" s="29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</row>
    <row r="7" spans="1:26" s="8" customFormat="1" ht="24">
      <c r="A7" s="367"/>
      <c r="B7" s="24"/>
      <c r="C7" s="24"/>
      <c r="D7" s="24"/>
      <c r="E7" s="24"/>
      <c r="F7" s="24"/>
      <c r="G7" s="24"/>
      <c r="H7" s="24"/>
      <c r="I7" s="24"/>
      <c r="J7" s="39" t="s">
        <v>51</v>
      </c>
      <c r="K7" s="24"/>
      <c r="L7" s="24"/>
      <c r="M7" s="24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</row>
    <row r="8" spans="1:26" s="8" customFormat="1" ht="26.25" customHeight="1">
      <c r="A8" s="368"/>
      <c r="B8" s="617" t="s">
        <v>261</v>
      </c>
      <c r="C8" s="618"/>
      <c r="D8" s="619"/>
      <c r="E8" s="617" t="s">
        <v>305</v>
      </c>
      <c r="F8" s="618"/>
      <c r="G8" s="619"/>
      <c r="H8" s="620" t="s">
        <v>86</v>
      </c>
      <c r="I8" s="621"/>
      <c r="J8" s="622"/>
      <c r="K8" s="24"/>
      <c r="L8" s="24"/>
      <c r="M8" s="24"/>
      <c r="N8" s="21"/>
      <c r="O8" s="21"/>
      <c r="P8" s="21"/>
      <c r="Q8" s="21"/>
      <c r="R8" s="21"/>
      <c r="S8" s="21"/>
      <c r="T8" s="21"/>
      <c r="U8" s="21"/>
      <c r="V8" s="21"/>
      <c r="W8" s="21"/>
      <c r="X8" s="21"/>
      <c r="Y8" s="21"/>
      <c r="Z8" s="21"/>
    </row>
    <row r="9" spans="1:26" s="85" customFormat="1" ht="24">
      <c r="A9" s="369" t="s">
        <v>168</v>
      </c>
      <c r="B9" s="34" t="s">
        <v>169</v>
      </c>
      <c r="C9" s="34" t="s">
        <v>170</v>
      </c>
      <c r="D9" s="34" t="s">
        <v>47</v>
      </c>
      <c r="E9" s="34" t="s">
        <v>169</v>
      </c>
      <c r="F9" s="34" t="s">
        <v>170</v>
      </c>
      <c r="G9" s="34" t="s">
        <v>47</v>
      </c>
      <c r="H9" s="34" t="s">
        <v>77</v>
      </c>
      <c r="I9" s="34" t="s">
        <v>77</v>
      </c>
      <c r="J9" s="34" t="s">
        <v>77</v>
      </c>
      <c r="K9" s="36"/>
      <c r="L9" s="36"/>
      <c r="M9" s="36"/>
      <c r="N9" s="39"/>
      <c r="O9" s="39"/>
      <c r="P9" s="39"/>
      <c r="Q9" s="39"/>
      <c r="R9" s="39"/>
      <c r="S9" s="39"/>
      <c r="T9" s="39"/>
      <c r="U9" s="39"/>
      <c r="V9" s="39"/>
      <c r="W9" s="39"/>
      <c r="X9" s="39"/>
      <c r="Y9" s="39"/>
      <c r="Z9" s="39"/>
    </row>
    <row r="10" spans="1:26" s="8" customFormat="1" ht="24">
      <c r="A10" s="370"/>
      <c r="B10" s="34"/>
      <c r="C10" s="34"/>
      <c r="D10" s="37"/>
      <c r="E10" s="34"/>
      <c r="F10" s="34"/>
      <c r="G10" s="37"/>
      <c r="H10" s="34" t="s">
        <v>171</v>
      </c>
      <c r="I10" s="34" t="s">
        <v>130</v>
      </c>
      <c r="J10" s="23" t="s">
        <v>47</v>
      </c>
      <c r="K10" s="33"/>
      <c r="L10" s="33"/>
      <c r="M10" s="33"/>
      <c r="N10" s="371"/>
      <c r="O10" s="371"/>
      <c r="P10" s="371"/>
      <c r="Q10" s="21"/>
      <c r="R10" s="21"/>
      <c r="S10" s="21"/>
      <c r="T10" s="21"/>
      <c r="U10" s="21"/>
      <c r="V10" s="21"/>
      <c r="W10" s="21"/>
      <c r="X10" s="21"/>
      <c r="Y10" s="21"/>
      <c r="Z10" s="21"/>
    </row>
    <row r="11" spans="1:26" s="8" customFormat="1" ht="24">
      <c r="A11" s="370"/>
      <c r="B11" s="34"/>
      <c r="C11" s="37"/>
      <c r="D11" s="37"/>
      <c r="E11" s="34"/>
      <c r="F11" s="34"/>
      <c r="G11" s="37"/>
      <c r="H11" s="34" t="s">
        <v>172</v>
      </c>
      <c r="I11" s="34" t="s">
        <v>172</v>
      </c>
      <c r="J11" s="34" t="s">
        <v>172</v>
      </c>
      <c r="K11" s="33"/>
      <c r="L11" s="33"/>
      <c r="M11" s="33"/>
      <c r="N11" s="371"/>
      <c r="O11" s="371"/>
      <c r="P11" s="371"/>
      <c r="Q11" s="21"/>
      <c r="R11" s="21"/>
      <c r="S11" s="21"/>
      <c r="T11" s="21"/>
      <c r="U11" s="21"/>
      <c r="V11" s="21"/>
      <c r="W11" s="21"/>
      <c r="X11" s="21"/>
      <c r="Y11" s="21"/>
      <c r="Z11" s="21"/>
    </row>
    <row r="12" spans="1:26" s="97" customFormat="1" ht="24">
      <c r="A12" s="370"/>
      <c r="B12" s="372" t="s">
        <v>149</v>
      </c>
      <c r="C12" s="373" t="s">
        <v>150</v>
      </c>
      <c r="D12" s="372" t="s">
        <v>173</v>
      </c>
      <c r="E12" s="373" t="s">
        <v>152</v>
      </c>
      <c r="F12" s="372" t="s">
        <v>174</v>
      </c>
      <c r="G12" s="373" t="s">
        <v>175</v>
      </c>
      <c r="H12" s="372" t="s">
        <v>19</v>
      </c>
      <c r="I12" s="372" t="s">
        <v>21</v>
      </c>
      <c r="J12" s="372" t="s">
        <v>23</v>
      </c>
      <c r="K12" s="374"/>
      <c r="L12" s="374"/>
      <c r="M12" s="374"/>
      <c r="N12" s="375"/>
      <c r="O12" s="375"/>
      <c r="P12" s="375"/>
      <c r="Q12" s="375"/>
      <c r="R12" s="375"/>
      <c r="S12" s="375"/>
      <c r="T12" s="375"/>
      <c r="U12" s="375"/>
      <c r="V12" s="375"/>
      <c r="W12" s="375"/>
      <c r="X12" s="375"/>
      <c r="Y12" s="375"/>
      <c r="Z12" s="375"/>
    </row>
    <row r="13" spans="1:26" s="97" customFormat="1" ht="24">
      <c r="A13" s="376"/>
      <c r="B13" s="377"/>
      <c r="C13" s="378"/>
      <c r="D13" s="379"/>
      <c r="E13" s="377"/>
      <c r="F13" s="377"/>
      <c r="G13" s="379"/>
      <c r="H13" s="377" t="s">
        <v>20</v>
      </c>
      <c r="I13" s="377" t="s">
        <v>22</v>
      </c>
      <c r="J13" s="377" t="s">
        <v>24</v>
      </c>
      <c r="K13" s="374"/>
      <c r="L13" s="374"/>
      <c r="M13" s="374"/>
      <c r="N13" s="375"/>
      <c r="O13" s="375"/>
      <c r="P13" s="375"/>
      <c r="Q13" s="375"/>
      <c r="R13" s="375"/>
      <c r="S13" s="375"/>
      <c r="T13" s="375"/>
      <c r="U13" s="375"/>
      <c r="V13" s="375"/>
      <c r="W13" s="375"/>
      <c r="X13" s="375"/>
      <c r="Y13" s="375"/>
      <c r="Z13" s="375"/>
    </row>
    <row r="14" spans="1:26" s="3" customFormat="1" ht="24">
      <c r="A14" s="380" t="s">
        <v>33</v>
      </c>
      <c r="B14" s="416">
        <f>11101928.625+1556335</f>
        <v>12658263.625</v>
      </c>
      <c r="C14" s="416">
        <v>1242574.7400000009</v>
      </c>
      <c r="D14" s="340">
        <f>SUM(B14:C14)</f>
        <v>13900838.365</v>
      </c>
      <c r="E14" s="416">
        <v>14700621.950000003</v>
      </c>
      <c r="F14" s="416">
        <v>1314853.1899999995</v>
      </c>
      <c r="G14" s="340">
        <f>SUM(E14:F14)</f>
        <v>16015475.140000002</v>
      </c>
      <c r="H14" s="292">
        <f>SUM((E14-B14)*100/B14)</f>
        <v>16.134585165111879</v>
      </c>
      <c r="I14" s="292">
        <f>SUM((F14-C14)*100/C14)</f>
        <v>5.8168291752010433</v>
      </c>
      <c r="J14" s="292">
        <f>SUM((G14-D14)*100/D14)</f>
        <v>15.212296693732561</v>
      </c>
      <c r="K14" s="27"/>
      <c r="L14" s="27"/>
      <c r="M14" s="27"/>
      <c r="N14" s="26"/>
      <c r="O14" s="26"/>
      <c r="P14" s="26"/>
      <c r="Q14" s="26"/>
      <c r="R14" s="26"/>
      <c r="S14" s="26"/>
      <c r="T14" s="26"/>
      <c r="U14" s="26"/>
      <c r="V14" s="26"/>
      <c r="W14" s="26"/>
      <c r="X14" s="26"/>
      <c r="Y14" s="26"/>
      <c r="Z14" s="26"/>
    </row>
    <row r="15" spans="1:26" s="3" customFormat="1" ht="24">
      <c r="A15" s="381" t="s">
        <v>34</v>
      </c>
      <c r="B15" s="98">
        <v>864695907.61999893</v>
      </c>
      <c r="C15" s="98">
        <v>0</v>
      </c>
      <c r="D15" s="164">
        <f>SUM(B15:C15)</f>
        <v>864695907.61999893</v>
      </c>
      <c r="E15" s="98">
        <v>920641798.73999953</v>
      </c>
      <c r="F15" s="98">
        <v>33180</v>
      </c>
      <c r="G15" s="164">
        <f>SUM(E15:F15)</f>
        <v>920674978.73999953</v>
      </c>
      <c r="H15" s="292">
        <f>SUM((E15-B15)*100/B15)</f>
        <v>6.4700076208278645</v>
      </c>
      <c r="I15" s="340">
        <v>100</v>
      </c>
      <c r="J15" s="164">
        <f>SUM((G15-D15)*100/D15)</f>
        <v>6.4738448079485167</v>
      </c>
      <c r="K15" s="27"/>
      <c r="L15" s="27"/>
      <c r="M15" s="27"/>
      <c r="N15" s="27"/>
      <c r="O15" s="26"/>
      <c r="P15" s="26"/>
      <c r="Q15" s="26"/>
      <c r="R15" s="26"/>
      <c r="S15" s="26"/>
      <c r="T15" s="26"/>
      <c r="U15" s="26"/>
      <c r="V15" s="26"/>
      <c r="W15" s="26"/>
      <c r="X15" s="26"/>
      <c r="Y15" s="26"/>
      <c r="Z15" s="26"/>
    </row>
    <row r="16" spans="1:26" s="3" customFormat="1" ht="24">
      <c r="A16" s="381" t="s">
        <v>110</v>
      </c>
      <c r="B16" s="98"/>
      <c r="C16" s="98">
        <v>6664590.080000001</v>
      </c>
      <c r="D16" s="164">
        <f>SUM(B16:C16)</f>
        <v>6664590.080000001</v>
      </c>
      <c r="E16" s="98">
        <v>0</v>
      </c>
      <c r="F16" s="98">
        <v>7180955.6500000013</v>
      </c>
      <c r="G16" s="164">
        <f>SUM(E16:F16)</f>
        <v>7180955.6500000013</v>
      </c>
      <c r="H16" s="292">
        <v>0</v>
      </c>
      <c r="I16" s="292">
        <f>SUM((F16-C16)*100/C16)</f>
        <v>7.7478969269179752</v>
      </c>
      <c r="J16" s="292">
        <f>SUM((G16-D16)*100/D16)</f>
        <v>7.7478969269179752</v>
      </c>
      <c r="K16" s="27"/>
      <c r="L16" s="27"/>
      <c r="M16" s="27"/>
      <c r="N16" s="27"/>
      <c r="O16" s="27"/>
      <c r="P16" s="26"/>
      <c r="Q16" s="26"/>
      <c r="R16" s="26"/>
      <c r="S16" s="26"/>
      <c r="T16" s="26"/>
      <c r="U16" s="26"/>
      <c r="V16" s="26"/>
      <c r="W16" s="26"/>
      <c r="X16" s="26"/>
      <c r="Y16" s="26"/>
      <c r="Z16" s="26"/>
    </row>
    <row r="17" spans="1:26" s="3" customFormat="1" ht="19.5" customHeight="1">
      <c r="A17" s="382" t="s">
        <v>176</v>
      </c>
      <c r="B17" s="98">
        <v>6916182.9000422833</v>
      </c>
      <c r="C17" s="98">
        <v>0</v>
      </c>
      <c r="D17" s="164">
        <f>SUM(B17:C17)</f>
        <v>6916182.9000422833</v>
      </c>
      <c r="E17" s="98">
        <v>9562895.1240000036</v>
      </c>
      <c r="F17" s="98">
        <v>0</v>
      </c>
      <c r="G17" s="164">
        <f>SUM(E17:F17)</f>
        <v>9562895.1240000036</v>
      </c>
      <c r="H17" s="292">
        <f>SUM((E17-B17)*100/B17)</f>
        <v>38.26839547493082</v>
      </c>
      <c r="I17" s="164">
        <v>0</v>
      </c>
      <c r="J17" s="164">
        <f>SUM((G17-D17)*100/D17)</f>
        <v>38.26839547493082</v>
      </c>
      <c r="K17" s="27"/>
      <c r="L17" s="27"/>
      <c r="M17" s="27"/>
      <c r="N17" s="26"/>
      <c r="O17" s="26"/>
      <c r="P17" s="26"/>
      <c r="Q17" s="26"/>
      <c r="R17" s="26"/>
      <c r="S17" s="26"/>
      <c r="T17" s="26"/>
      <c r="U17" s="26"/>
      <c r="V17" s="26"/>
      <c r="W17" s="26"/>
      <c r="X17" s="26"/>
      <c r="Y17" s="26"/>
      <c r="Z17" s="26"/>
    </row>
    <row r="18" spans="1:26" s="3" customFormat="1" ht="24">
      <c r="A18" s="290"/>
      <c r="B18" s="20"/>
      <c r="C18" s="20"/>
      <c r="D18" s="37"/>
      <c r="E18" s="20"/>
      <c r="F18" s="20"/>
      <c r="G18" s="37"/>
      <c r="H18" s="63"/>
      <c r="I18" s="444"/>
      <c r="J18" s="187"/>
      <c r="K18" s="27"/>
      <c r="L18" s="27"/>
      <c r="M18" s="27"/>
      <c r="N18" s="26"/>
      <c r="O18" s="26"/>
      <c r="P18" s="26"/>
      <c r="Q18" s="26"/>
      <c r="R18" s="26"/>
      <c r="S18" s="26"/>
      <c r="T18" s="26"/>
      <c r="U18" s="26"/>
      <c r="V18" s="26"/>
      <c r="W18" s="26"/>
      <c r="X18" s="26"/>
      <c r="Y18" s="26"/>
      <c r="Z18" s="26"/>
    </row>
    <row r="19" spans="1:26" s="8" customFormat="1" ht="24.75" thickBot="1">
      <c r="A19" s="383" t="s">
        <v>50</v>
      </c>
      <c r="B19" s="300">
        <f>SUM(B14:B17)</f>
        <v>884270354.14504123</v>
      </c>
      <c r="C19" s="300">
        <f>SUM(C14:C17)</f>
        <v>7907164.8200000022</v>
      </c>
      <c r="D19" s="300">
        <f>SUM(D14:D17)</f>
        <v>892177518.96504128</v>
      </c>
      <c r="E19" s="300">
        <f>SUM(E14:E18)</f>
        <v>944905315.81399953</v>
      </c>
      <c r="F19" s="300">
        <f>SUM(F14:F18)</f>
        <v>8528988.8399999999</v>
      </c>
      <c r="G19" s="300">
        <f>SUM(G14:G18)</f>
        <v>953434304.65399945</v>
      </c>
      <c r="H19" s="300">
        <f>SUM((E19-B19)*100/B19)</f>
        <v>6.8570614614331777</v>
      </c>
      <c r="I19" s="300">
        <f>SUM((F19-C19)*100/C19)</f>
        <v>7.8640579038796048</v>
      </c>
      <c r="J19" s="167">
        <f>SUM((G19-D19)*100/D19)</f>
        <v>6.8659862400498826</v>
      </c>
      <c r="K19" s="24"/>
      <c r="L19" s="24"/>
      <c r="M19" s="24"/>
      <c r="N19" s="21"/>
      <c r="O19" s="21"/>
      <c r="P19" s="21"/>
      <c r="Q19" s="21"/>
      <c r="R19" s="21"/>
      <c r="S19" s="21"/>
      <c r="T19" s="21"/>
      <c r="U19" s="21"/>
      <c r="V19" s="21"/>
      <c r="W19" s="21"/>
      <c r="X19" s="21"/>
      <c r="Y19" s="21"/>
      <c r="Z19" s="21"/>
    </row>
    <row r="20" spans="1:26" s="8" customFormat="1" ht="24.75" thickTop="1">
      <c r="A20" s="384"/>
      <c r="B20" s="44"/>
      <c r="C20" s="44"/>
      <c r="D20" s="44"/>
      <c r="E20" s="44"/>
      <c r="F20" s="44"/>
      <c r="G20" s="44"/>
      <c r="H20" s="44"/>
      <c r="I20" s="385"/>
      <c r="J20" s="44"/>
      <c r="K20" s="24"/>
      <c r="L20" s="24"/>
      <c r="M20" s="24"/>
      <c r="N20" s="21"/>
      <c r="O20" s="21"/>
      <c r="P20" s="21"/>
      <c r="Q20" s="21"/>
      <c r="R20" s="21"/>
      <c r="S20" s="21"/>
      <c r="T20" s="21"/>
      <c r="U20" s="21"/>
      <c r="V20" s="21"/>
      <c r="W20" s="21"/>
      <c r="X20" s="21"/>
      <c r="Y20" s="21"/>
      <c r="Z20" s="21"/>
    </row>
    <row r="21" spans="1:26" s="107" customFormat="1">
      <c r="A21" s="465"/>
      <c r="B21" s="108"/>
      <c r="C21" s="108"/>
      <c r="D21" s="121"/>
      <c r="E21" s="108"/>
      <c r="F21" s="108"/>
      <c r="G21" s="121"/>
      <c r="H21" s="108"/>
      <c r="I21" s="108"/>
      <c r="J21" s="108"/>
      <c r="K21" s="108"/>
      <c r="L21" s="108"/>
      <c r="M21" s="108"/>
    </row>
    <row r="22" spans="1:26" s="107" customFormat="1" ht="24">
      <c r="A22" s="521" t="s">
        <v>327</v>
      </c>
      <c r="B22" s="108"/>
      <c r="C22" s="108"/>
      <c r="D22" s="121"/>
      <c r="E22" s="108"/>
      <c r="F22" s="108"/>
      <c r="G22" s="121"/>
      <c r="H22" s="108"/>
      <c r="I22" s="108"/>
      <c r="J22" s="108"/>
      <c r="K22" s="108"/>
      <c r="L22" s="108"/>
      <c r="M22" s="108"/>
    </row>
    <row r="23" spans="1:26" s="107" customFormat="1">
      <c r="A23" s="462"/>
      <c r="B23" s="108"/>
      <c r="C23" s="108"/>
      <c r="D23" s="121"/>
      <c r="E23" s="108"/>
      <c r="F23" s="108"/>
      <c r="G23" s="121"/>
      <c r="H23" s="108"/>
      <c r="I23" s="108"/>
      <c r="J23" s="108"/>
      <c r="K23" s="108"/>
      <c r="L23" s="108"/>
      <c r="M23" s="108"/>
    </row>
    <row r="24" spans="1:26" s="107" customFormat="1">
      <c r="A24" s="462"/>
      <c r="B24" s="108"/>
      <c r="C24" s="108"/>
      <c r="D24" s="121"/>
      <c r="E24" s="108"/>
      <c r="F24" s="108"/>
      <c r="G24" s="121"/>
      <c r="H24" s="108"/>
      <c r="I24" s="108"/>
      <c r="J24" s="108"/>
      <c r="K24" s="108"/>
      <c r="L24" s="108"/>
      <c r="M24" s="108"/>
    </row>
    <row r="25" spans="1:26" s="132" customFormat="1" ht="24">
      <c r="A25" s="521"/>
      <c r="B25" s="55"/>
      <c r="C25" s="55"/>
      <c r="D25" s="101"/>
      <c r="E25" s="55"/>
      <c r="F25" s="55"/>
      <c r="G25" s="101"/>
      <c r="H25" s="55"/>
      <c r="I25" s="55"/>
      <c r="J25" s="55"/>
      <c r="K25" s="55"/>
      <c r="L25" s="55"/>
      <c r="M25" s="55"/>
    </row>
  </sheetData>
  <mergeCells count="7">
    <mergeCell ref="A4:J4"/>
    <mergeCell ref="B8:D8"/>
    <mergeCell ref="E8:G8"/>
    <mergeCell ref="H8:J8"/>
    <mergeCell ref="A1:J1"/>
    <mergeCell ref="A2:J2"/>
    <mergeCell ref="A3:J3"/>
  </mergeCells>
  <phoneticPr fontId="2" type="noConversion"/>
  <pageMargins left="0.27559055118110237" right="0.15748031496062992" top="0.31496062992125984" bottom="0.47244094488188981" header="0.15748031496062992" footer="0.15748031496062992"/>
  <pageSetup paperSize="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แผ่นงาน</vt:lpstr>
      </vt:variant>
      <vt:variant>
        <vt:i4>16</vt:i4>
      </vt:variant>
      <vt:variant>
        <vt:lpstr>ช่วงที่มีชื่อ</vt:lpstr>
      </vt:variant>
      <vt:variant>
        <vt:i4>12</vt:i4>
      </vt:variant>
    </vt:vector>
  </HeadingPairs>
  <TitlesOfParts>
    <vt:vector size="28" baseType="lpstr">
      <vt:lpstr>ตารางที่ 1 ส่ง</vt:lpstr>
      <vt:lpstr>ตารางที่ 2 ส่ง</vt:lpstr>
      <vt:lpstr>ตารางที่ 3 ส่ง</vt:lpstr>
      <vt:lpstr>ตารางที่ 4 ส่ง</vt:lpstr>
      <vt:lpstr>ตารางที่ 5 ส่ง</vt:lpstr>
      <vt:lpstr>ตารางที่ 6 ส่ง</vt:lpstr>
      <vt:lpstr>ตารางที่ 7</vt:lpstr>
      <vt:lpstr>ตารางที่ 7 ต่อ </vt:lpstr>
      <vt:lpstr>ตารางที่ 8 ส่ง</vt:lpstr>
      <vt:lpstr>ตารางที่ 8 ต่อ</vt:lpstr>
      <vt:lpstr>ตารางที่ 9 ส่ง</vt:lpstr>
      <vt:lpstr>ตารางที่ 9 ต่อ</vt:lpstr>
      <vt:lpstr>ตารางที่ 10 ส่ง</vt:lpstr>
      <vt:lpstr>ตารางที่ 11 ส่ง</vt:lpstr>
      <vt:lpstr>ตารางที่ 11 ต่อ</vt:lpstr>
      <vt:lpstr>ตารางที่ 12 ส่ง</vt:lpstr>
      <vt:lpstr>'ตารางที่ 11 ส่ง'!Print_Area</vt:lpstr>
      <vt:lpstr>'ตารางที่ 4 ส่ง'!Print_Area</vt:lpstr>
      <vt:lpstr>'ตารางที่ 6 ส่ง'!Print_Area</vt:lpstr>
      <vt:lpstr>'ตารางที่ 7'!Print_Area</vt:lpstr>
      <vt:lpstr>'ตารางที่ 11 ต่อ'!Print_Titles</vt:lpstr>
      <vt:lpstr>'ตารางที่ 11 ส่ง'!Print_Titles</vt:lpstr>
      <vt:lpstr>'ตารางที่ 2 ส่ง'!Print_Titles</vt:lpstr>
      <vt:lpstr>'ตารางที่ 3 ส่ง'!Print_Titles</vt:lpstr>
      <vt:lpstr>'ตารางที่ 7'!Print_Titles</vt:lpstr>
      <vt:lpstr>'ตารางที่ 7 ต่อ '!Print_Titles</vt:lpstr>
      <vt:lpstr>'ตารางที่ 8 ต่อ'!Print_Titles</vt:lpstr>
      <vt:lpstr>'ตารางที่ 9 ต่อ'!Print_Titles</vt:lpstr>
    </vt:vector>
  </TitlesOfParts>
  <Company>dsd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dsd</dc:creator>
  <cp:lastModifiedBy>HomeUser</cp:lastModifiedBy>
  <cp:lastPrinted>2016-03-09T02:00:55Z</cp:lastPrinted>
  <dcterms:created xsi:type="dcterms:W3CDTF">2010-01-09T16:57:40Z</dcterms:created>
  <dcterms:modified xsi:type="dcterms:W3CDTF">2016-03-09T02:40:24Z</dcterms:modified>
</cp:coreProperties>
</file>